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" documentId="8_{49CBE6FC-55CE-4098-8787-734A0017CFE3}" xr6:coauthVersionLast="47" xr6:coauthVersionMax="47" xr10:uidLastSave="{36EDFB79-12CF-488C-91ED-C86A0F13806E}"/>
  <bookViews>
    <workbookView xWindow="-110" yWindow="-110" windowWidth="19420" windowHeight="10300" activeTab="2" xr2:uid="{E22BC334-9997-4D39-A09B-347CCB3731F7}"/>
  </bookViews>
  <sheets>
    <sheet name="Title" sheetId="3" r:id="rId1"/>
    <sheet name="Factorial" sheetId="1" r:id="rId2"/>
    <sheet name="3way Anova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2" l="1" a="1"/>
  <c r="K11" i="2" s="1"/>
  <c r="J8" i="2" a="1"/>
  <c r="J9" i="2" s="1"/>
  <c r="I6" i="2" a="1"/>
  <c r="I7" i="2" s="1"/>
  <c r="J8" i="2" l="1"/>
  <c r="I6" i="2"/>
  <c r="K10" i="2"/>
  <c r="N32" i="2" l="1"/>
  <c r="M32" i="2"/>
  <c r="N31" i="2"/>
  <c r="M31" i="2"/>
  <c r="L31" i="2"/>
  <c r="K31" i="2"/>
  <c r="J31" i="2"/>
  <c r="I31" i="2"/>
  <c r="N30" i="2"/>
  <c r="M30" i="2"/>
  <c r="L30" i="2"/>
  <c r="K30" i="2"/>
  <c r="J30" i="2"/>
  <c r="I30" i="2"/>
  <c r="N29" i="2"/>
  <c r="M29" i="2"/>
  <c r="L29" i="2"/>
  <c r="K29" i="2"/>
  <c r="J29" i="2"/>
  <c r="I29" i="2"/>
  <c r="N28" i="2"/>
  <c r="M28" i="2"/>
  <c r="L28" i="2"/>
  <c r="K28" i="2"/>
  <c r="J28" i="2"/>
  <c r="I28" i="2"/>
  <c r="N27" i="2"/>
  <c r="M27" i="2"/>
  <c r="L27" i="2"/>
  <c r="K27" i="2"/>
  <c r="J27" i="2"/>
  <c r="I27" i="2"/>
  <c r="N26" i="2"/>
  <c r="M26" i="2"/>
  <c r="L26" i="2"/>
  <c r="K26" i="2"/>
  <c r="J26" i="2"/>
  <c r="I26" i="2"/>
  <c r="N25" i="2"/>
  <c r="M25" i="2"/>
  <c r="L25" i="2"/>
  <c r="K25" i="2"/>
  <c r="J25" i="2"/>
  <c r="I25" i="2"/>
  <c r="N24" i="2"/>
  <c r="M24" i="2"/>
  <c r="L24" i="2"/>
  <c r="K24" i="2"/>
  <c r="J24" i="2"/>
  <c r="I24" i="2"/>
  <c r="U30" i="1"/>
  <c r="T30" i="1"/>
  <c r="S30" i="1"/>
  <c r="S29" i="1"/>
  <c r="R23" i="1" a="1"/>
  <c r="R23" i="1" s="1"/>
  <c r="T20" i="1"/>
  <c r="S20" i="1"/>
  <c r="S19" i="1" s="1"/>
  <c r="H24" i="1"/>
  <c r="H23" i="1"/>
  <c r="H22" i="1"/>
  <c r="H21" i="1"/>
  <c r="H20" i="1" a="1"/>
  <c r="H25" i="1" s="1"/>
  <c r="Z19" i="1"/>
  <c r="AA16" i="1"/>
  <c r="Z16" i="1"/>
  <c r="Z15" i="1"/>
  <c r="I15" i="1"/>
  <c r="E13" i="1"/>
  <c r="B13" i="1"/>
  <c r="U12" i="1"/>
  <c r="T12" i="1"/>
  <c r="S12" i="1"/>
  <c r="M12" i="1"/>
  <c r="M17" i="1" s="1"/>
  <c r="L12" i="1"/>
  <c r="L17" i="1" s="1"/>
  <c r="S11" i="1"/>
  <c r="P11" i="1"/>
  <c r="O11" i="1"/>
  <c r="N11" i="1"/>
  <c r="M11" i="1"/>
  <c r="L11" i="1"/>
  <c r="Z10" i="1"/>
  <c r="P10" i="1"/>
  <c r="O10" i="1"/>
  <c r="N10" i="1"/>
  <c r="M10" i="1"/>
  <c r="L10" i="1"/>
  <c r="P9" i="1"/>
  <c r="O9" i="1"/>
  <c r="N9" i="1"/>
  <c r="M9" i="1"/>
  <c r="L9" i="1"/>
  <c r="P8" i="1"/>
  <c r="O8" i="1"/>
  <c r="N8" i="1"/>
  <c r="M8" i="1"/>
  <c r="L8" i="1"/>
  <c r="P7" i="1"/>
  <c r="O7" i="1"/>
  <c r="N7" i="1"/>
  <c r="M7" i="1"/>
  <c r="L7" i="1"/>
  <c r="P6" i="1"/>
  <c r="O6" i="1"/>
  <c r="N6" i="1"/>
  <c r="M6" i="1"/>
  <c r="L6" i="1"/>
  <c r="P5" i="1"/>
  <c r="O5" i="1"/>
  <c r="N5" i="1"/>
  <c r="M5" i="1"/>
  <c r="L5" i="1"/>
  <c r="R4" i="1" a="1"/>
  <c r="P4" i="1"/>
  <c r="K12" i="1" s="1"/>
  <c r="K17" i="1" s="1"/>
  <c r="O4" i="1"/>
  <c r="N4" i="1"/>
  <c r="M4" i="1"/>
  <c r="L4" i="1"/>
  <c r="L32" i="2" l="1"/>
  <c r="R7" i="1"/>
  <c r="R6" i="1"/>
  <c r="R5" i="1"/>
  <c r="R4" i="1"/>
  <c r="R10" i="1"/>
  <c r="R9" i="1"/>
  <c r="U20" i="1"/>
  <c r="R8" i="1"/>
  <c r="K13" i="1"/>
  <c r="Z14" i="1"/>
  <c r="O12" i="1"/>
  <c r="O17" i="1" s="1"/>
  <c r="N12" i="1"/>
  <c r="N17" i="1" s="1"/>
  <c r="O13" i="1"/>
  <c r="N13" i="1"/>
  <c r="J13" i="1"/>
  <c r="J12" i="1"/>
  <c r="J17" i="1" s="1"/>
  <c r="I13" i="1"/>
  <c r="I12" i="1"/>
  <c r="R28" i="1"/>
  <c r="R26" i="1"/>
  <c r="R25" i="1"/>
  <c r="R27" i="1"/>
  <c r="L13" i="1"/>
  <c r="M13" i="1"/>
  <c r="R24" i="1"/>
  <c r="H20" i="1"/>
  <c r="H26" i="1"/>
  <c r="J12" i="2" l="1"/>
  <c r="L8" i="2"/>
  <c r="J14" i="2"/>
  <c r="J21" i="2"/>
  <c r="J20" i="2"/>
  <c r="R15" i="2"/>
  <c r="Q15" i="2" s="1"/>
  <c r="K22" i="2"/>
  <c r="K18" i="2"/>
  <c r="K16" i="2"/>
  <c r="K20" i="2"/>
  <c r="L10" i="2"/>
  <c r="K19" i="2"/>
  <c r="K17" i="2"/>
  <c r="L11" i="2"/>
  <c r="K23" i="2"/>
  <c r="K21" i="2"/>
  <c r="I20" i="1" a="1"/>
  <c r="I17" i="1"/>
  <c r="Z20" i="1" s="1" a="1"/>
  <c r="L6" i="2"/>
  <c r="I17" i="2"/>
  <c r="I13" i="2"/>
  <c r="I12" i="2"/>
  <c r="I16" i="2"/>
  <c r="L16" i="2" s="1"/>
  <c r="T16" i="1" a="1"/>
  <c r="T4" i="1" a="1"/>
  <c r="T23" i="1" a="1"/>
  <c r="I19" i="2"/>
  <c r="I18" i="2"/>
  <c r="I15" i="2"/>
  <c r="I14" i="2"/>
  <c r="L7" i="2"/>
  <c r="J22" i="2"/>
  <c r="L22" i="2" s="1"/>
  <c r="J15" i="2"/>
  <c r="L9" i="2"/>
  <c r="J23" i="2"/>
  <c r="L23" i="2" s="1"/>
  <c r="J13" i="2"/>
  <c r="L14" i="2" l="1"/>
  <c r="L17" i="2"/>
  <c r="N17" i="2" s="1" a="1"/>
  <c r="N17" i="2" s="1"/>
  <c r="T18" i="1"/>
  <c r="U18" i="1" s="1"/>
  <c r="T16" i="1"/>
  <c r="T17" i="1"/>
  <c r="U17" i="1" s="1"/>
  <c r="N23" i="2" a="1"/>
  <c r="N23" i="2" s="1"/>
  <c r="M23" i="2" a="1"/>
  <c r="M23" i="2" s="1"/>
  <c r="N10" i="2" a="1"/>
  <c r="N10" i="2" s="1"/>
  <c r="M10" i="2" a="1"/>
  <c r="M10" i="2" s="1"/>
  <c r="M9" i="2" a="1"/>
  <c r="M9" i="2" s="1"/>
  <c r="N9" i="2" a="1"/>
  <c r="N9" i="2" s="1"/>
  <c r="L12" i="2"/>
  <c r="L13" i="2"/>
  <c r="M7" i="2" a="1"/>
  <c r="M7" i="2" s="1"/>
  <c r="N7" i="2" a="1"/>
  <c r="N7" i="2" s="1"/>
  <c r="M14" i="2" a="1"/>
  <c r="M14" i="2" s="1"/>
  <c r="N14" i="2" a="1"/>
  <c r="N14" i="2" s="1"/>
  <c r="Z25" i="1"/>
  <c r="Z24" i="1"/>
  <c r="Z26" i="1"/>
  <c r="Z20" i="1"/>
  <c r="Z23" i="1"/>
  <c r="Z22" i="1"/>
  <c r="Z21" i="1"/>
  <c r="I24" i="1"/>
  <c r="I23" i="1"/>
  <c r="I26" i="1"/>
  <c r="I22" i="1"/>
  <c r="I21" i="1"/>
  <c r="I20" i="1"/>
  <c r="I25" i="1"/>
  <c r="S15" i="2"/>
  <c r="L18" i="2"/>
  <c r="L20" i="2"/>
  <c r="L19" i="2"/>
  <c r="L21" i="2"/>
  <c r="T26" i="1"/>
  <c r="U26" i="1" s="1"/>
  <c r="T25" i="1"/>
  <c r="U25" i="1" s="1"/>
  <c r="T28" i="1"/>
  <c r="U28" i="1" s="1"/>
  <c r="T27" i="1"/>
  <c r="U27" i="1" s="1"/>
  <c r="T24" i="1"/>
  <c r="U24" i="1" s="1"/>
  <c r="T23" i="1"/>
  <c r="N11" i="2" a="1"/>
  <c r="N11" i="2" s="1"/>
  <c r="M11" i="2" a="1"/>
  <c r="M11" i="2" s="1"/>
  <c r="M16" i="2" a="1"/>
  <c r="M16" i="2" s="1"/>
  <c r="N16" i="2" a="1"/>
  <c r="N16" i="2" s="1"/>
  <c r="M22" i="2" a="1"/>
  <c r="M22" i="2" s="1"/>
  <c r="N22" i="2" a="1"/>
  <c r="N22" i="2" s="1"/>
  <c r="M6" i="2" a="1"/>
  <c r="M6" i="2" s="1"/>
  <c r="R7" i="2" s="1"/>
  <c r="N6" i="2" a="1"/>
  <c r="N6" i="2" s="1"/>
  <c r="L15" i="2"/>
  <c r="T9" i="1"/>
  <c r="U9" i="1" s="1"/>
  <c r="T10" i="1"/>
  <c r="U10" i="1" s="1"/>
  <c r="T8" i="1"/>
  <c r="U8" i="1" s="1"/>
  <c r="T4" i="1"/>
  <c r="T7" i="1"/>
  <c r="U7" i="1" s="1"/>
  <c r="T5" i="1"/>
  <c r="U5" i="1" s="1"/>
  <c r="T6" i="1"/>
  <c r="U6" i="1" s="1"/>
  <c r="N8" i="2" a="1"/>
  <c r="N8" i="2" s="1"/>
  <c r="M8" i="2" a="1"/>
  <c r="M8" i="2" s="1"/>
  <c r="M17" i="2" l="1" a="1"/>
  <c r="M17" i="2" s="1"/>
  <c r="Q7" i="2"/>
  <c r="N20" i="2" a="1"/>
  <c r="N20" i="2" s="1"/>
  <c r="M20" i="2" a="1"/>
  <c r="M20" i="2" s="1"/>
  <c r="N13" i="2" a="1"/>
  <c r="N13" i="2" s="1"/>
  <c r="M13" i="2" a="1"/>
  <c r="M13" i="2" s="1"/>
  <c r="U4" i="1"/>
  <c r="T11" i="1"/>
  <c r="N18" i="2" a="1"/>
  <c r="N18" i="2" s="1"/>
  <c r="M18" i="2" a="1"/>
  <c r="M18" i="2" s="1"/>
  <c r="U23" i="1"/>
  <c r="T29" i="1"/>
  <c r="U29" i="1" s="1"/>
  <c r="V26" i="1" s="1"/>
  <c r="W26" i="1" s="1"/>
  <c r="N15" i="2" a="1"/>
  <c r="N15" i="2" s="1"/>
  <c r="M15" i="2" a="1"/>
  <c r="M15" i="2" s="1"/>
  <c r="R8" i="2"/>
  <c r="R10" i="2" s="1"/>
  <c r="S7" i="2"/>
  <c r="V28" i="1"/>
  <c r="W28" i="1" s="1"/>
  <c r="V25" i="1"/>
  <c r="W25" i="1" s="1"/>
  <c r="Q8" i="2"/>
  <c r="N12" i="2" a="1"/>
  <c r="N12" i="2" s="1"/>
  <c r="M12" i="2" a="1"/>
  <c r="M12" i="2" s="1"/>
  <c r="M21" i="2" a="1"/>
  <c r="M21" i="2" s="1"/>
  <c r="N21" i="2" a="1"/>
  <c r="N21" i="2" s="1"/>
  <c r="U16" i="1"/>
  <c r="T19" i="1"/>
  <c r="U19" i="1" s="1"/>
  <c r="V17" i="1" s="1"/>
  <c r="W17" i="1" s="1"/>
  <c r="R9" i="2"/>
  <c r="V24" i="1"/>
  <c r="W24" i="1" s="1"/>
  <c r="Q9" i="2"/>
  <c r="V27" i="1"/>
  <c r="W27" i="1" s="1"/>
  <c r="N19" i="2" a="1"/>
  <c r="N19" i="2" s="1"/>
  <c r="M19" i="2" a="1"/>
  <c r="M19" i="2" s="1"/>
  <c r="V18" i="1"/>
  <c r="W18" i="1" s="1"/>
  <c r="R14" i="2" l="1"/>
  <c r="Q10" i="2"/>
  <c r="S10" i="2" s="1"/>
  <c r="Q12" i="2"/>
  <c r="AA15" i="1"/>
  <c r="U11" i="1"/>
  <c r="V16" i="1"/>
  <c r="W16" i="1" s="1"/>
  <c r="V4" i="1"/>
  <c r="W4" i="1" s="1"/>
  <c r="V23" i="1"/>
  <c r="W23" i="1" s="1"/>
  <c r="R12" i="2"/>
  <c r="S12" i="2" s="1"/>
  <c r="R11" i="2"/>
  <c r="R13" i="2"/>
  <c r="S9" i="2"/>
  <c r="Q11" i="2"/>
  <c r="S8" i="2"/>
  <c r="S11" i="2" l="1"/>
  <c r="J20" i="1"/>
  <c r="V9" i="1"/>
  <c r="W9" i="1" s="1"/>
  <c r="V8" i="1"/>
  <c r="W8" i="1" s="1"/>
  <c r="V6" i="1"/>
  <c r="W6" i="1" s="1"/>
  <c r="V5" i="1"/>
  <c r="W5" i="1" s="1"/>
  <c r="V7" i="1"/>
  <c r="W7" i="1" s="1"/>
  <c r="V10" i="1"/>
  <c r="W10" i="1" s="1"/>
  <c r="AB15" i="1"/>
  <c r="Z9" i="1" s="1"/>
  <c r="AA14" i="1"/>
  <c r="Q13" i="2"/>
  <c r="AA20" i="1" l="1"/>
  <c r="J21" i="1"/>
  <c r="M20" i="1"/>
  <c r="N20" i="1"/>
  <c r="K20" i="1"/>
  <c r="L20" i="1" s="1"/>
  <c r="S13" i="2"/>
  <c r="Q14" i="2"/>
  <c r="Z7" i="1"/>
  <c r="AB14" i="1"/>
  <c r="AC14" i="1" s="1"/>
  <c r="AD14" i="1" s="1"/>
  <c r="AE14" i="1" s="1"/>
  <c r="Z6" i="1" l="1"/>
  <c r="Z8" i="1"/>
  <c r="S14" i="2"/>
  <c r="T13" i="2" s="1"/>
  <c r="U13" i="2" s="1"/>
  <c r="V7" i="2"/>
  <c r="V10" i="2"/>
  <c r="V12" i="2"/>
  <c r="V9" i="2"/>
  <c r="V8" i="2"/>
  <c r="V11" i="2"/>
  <c r="V13" i="2"/>
  <c r="J22" i="1"/>
  <c r="M21" i="1"/>
  <c r="K21" i="1"/>
  <c r="L21" i="1" s="1"/>
  <c r="N21" i="1"/>
  <c r="AA19" i="1"/>
  <c r="AB19" i="1" s="1"/>
  <c r="AA21" i="1"/>
  <c r="AB20" i="1"/>
  <c r="J23" i="1" l="1"/>
  <c r="K22" i="1"/>
  <c r="L22" i="1" s="1"/>
  <c r="N22" i="1"/>
  <c r="M22" i="1"/>
  <c r="AE20" i="1"/>
  <c r="AD20" i="1"/>
  <c r="AC20" i="1"/>
  <c r="AA22" i="1"/>
  <c r="AB21" i="1"/>
  <c r="AD19" i="1"/>
  <c r="AC19" i="1"/>
  <c r="AE19" i="1"/>
  <c r="T7" i="2"/>
  <c r="U7" i="2" s="1"/>
  <c r="T12" i="2"/>
  <c r="U12" i="2" s="1"/>
  <c r="T8" i="2"/>
  <c r="U8" i="2" s="1"/>
  <c r="T9" i="2"/>
  <c r="U9" i="2" s="1"/>
  <c r="T10" i="2"/>
  <c r="U10" i="2" s="1"/>
  <c r="T11" i="2"/>
  <c r="U11" i="2" s="1"/>
  <c r="AC21" i="1" l="1"/>
  <c r="AE21" i="1"/>
  <c r="AD21" i="1"/>
  <c r="AA23" i="1"/>
  <c r="AB22" i="1"/>
  <c r="J24" i="1"/>
  <c r="M23" i="1"/>
  <c r="K23" i="1"/>
  <c r="L23" i="1" s="1"/>
  <c r="N23" i="1"/>
  <c r="J25" i="1" l="1"/>
  <c r="N24" i="1"/>
  <c r="M24" i="1"/>
  <c r="K24" i="1"/>
  <c r="L24" i="1" s="1"/>
  <c r="AE22" i="1"/>
  <c r="AD22" i="1"/>
  <c r="AC22" i="1"/>
  <c r="AA24" i="1"/>
  <c r="AB23" i="1"/>
  <c r="AE23" i="1" l="1"/>
  <c r="AD23" i="1"/>
  <c r="AC23" i="1"/>
  <c r="AA25" i="1"/>
  <c r="AB24" i="1"/>
  <c r="J26" i="1"/>
  <c r="M25" i="1"/>
  <c r="K25" i="1"/>
  <c r="L25" i="1" s="1"/>
  <c r="N25" i="1"/>
  <c r="M26" i="1" l="1"/>
  <c r="N26" i="1"/>
  <c r="K26" i="1"/>
  <c r="L26" i="1" s="1"/>
  <c r="AE24" i="1"/>
  <c r="AD24" i="1"/>
  <c r="AC24" i="1"/>
  <c r="AA26" i="1"/>
  <c r="AB26" i="1" s="1"/>
  <c r="AB25" i="1"/>
  <c r="AE25" i="1" l="1"/>
  <c r="AD25" i="1"/>
  <c r="AC25" i="1"/>
  <c r="AD26" i="1"/>
  <c r="AC26" i="1"/>
  <c r="AE26" i="1"/>
</calcChain>
</file>

<file path=xl/sharedStrings.xml><?xml version="1.0" encoding="utf-8"?>
<sst xmlns="http://schemas.openxmlformats.org/spreadsheetml/2006/main" count="158" uniqueCount="58">
  <si>
    <t>2^3 factorial design</t>
  </si>
  <si>
    <t>A</t>
  </si>
  <si>
    <t>B</t>
  </si>
  <si>
    <t>C</t>
  </si>
  <si>
    <t>AB</t>
  </si>
  <si>
    <t>AC</t>
  </si>
  <si>
    <t>BC</t>
  </si>
  <si>
    <t>ABC</t>
  </si>
  <si>
    <t>Tot</t>
  </si>
  <si>
    <t>df</t>
  </si>
  <si>
    <t>SS</t>
  </si>
  <si>
    <t>MS</t>
  </si>
  <si>
    <t>F</t>
  </si>
  <si>
    <t>p-value</t>
  </si>
  <si>
    <t>Regression Analysis</t>
  </si>
  <si>
    <t>-</t>
  </si>
  <si>
    <t>+</t>
  </si>
  <si>
    <t>OVERALL FIT</t>
  </si>
  <si>
    <t>Multiple R</t>
  </si>
  <si>
    <t>R Square</t>
  </si>
  <si>
    <t>Adjusted R Sq</t>
  </si>
  <si>
    <t>Standard Error</t>
  </si>
  <si>
    <t>Observations</t>
  </si>
  <si>
    <t>Err</t>
  </si>
  <si>
    <t>effect</t>
  </si>
  <si>
    <t>ANOVA</t>
  </si>
  <si>
    <t>Alpha</t>
  </si>
  <si>
    <t>k</t>
  </si>
  <si>
    <t>n</t>
  </si>
  <si>
    <t>sig</t>
  </si>
  <si>
    <t>Regression</t>
  </si>
  <si>
    <t>mean</t>
  </si>
  <si>
    <t>Residual</t>
  </si>
  <si>
    <t>Total</t>
  </si>
  <si>
    <t>coeff</t>
  </si>
  <si>
    <t>std err</t>
  </si>
  <si>
    <t>t stat</t>
  </si>
  <si>
    <t>lower</t>
  </si>
  <si>
    <t>upper</t>
  </si>
  <si>
    <t>s.e.</t>
  </si>
  <si>
    <t>t-stat</t>
  </si>
  <si>
    <t>p-val</t>
  </si>
  <si>
    <t>Intercept</t>
  </si>
  <si>
    <t>Descriptive Statistics</t>
  </si>
  <si>
    <t>Three Factor Anova</t>
  </si>
  <si>
    <t>Count</t>
  </si>
  <si>
    <t>Mean</t>
  </si>
  <si>
    <t>Variance</t>
  </si>
  <si>
    <t>p eta-sq</t>
  </si>
  <si>
    <t>A x B</t>
  </si>
  <si>
    <t>A x C</t>
  </si>
  <si>
    <t>B x C</t>
  </si>
  <si>
    <t>A x B x C</t>
  </si>
  <si>
    <t>Within</t>
  </si>
  <si>
    <t>Real Statistics Using Excel</t>
  </si>
  <si>
    <t>Updated</t>
  </si>
  <si>
    <t>2^k Factorial Design Basic Concepts</t>
  </si>
  <si>
    <t>Copyright © 2013 - 2024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</si>
</sst>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right"/>
    </xf>
    <xf numFmtId="0" fontId="2" fillId="0" borderId="0" xfId="0" applyFont="1" applyAlignment="1">
      <alignment horizontal="center"/>
    </xf>
    <xf numFmtId="0" fontId="0" fillId="0" borderId="4" xfId="0" applyBorder="1"/>
    <xf numFmtId="0" fontId="2" fillId="0" borderId="5" xfId="0" applyFon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2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AD9AE-E38C-4BF2-9916-3C0622F20AFF}">
  <dimension ref="A1:B6"/>
  <sheetViews>
    <sheetView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54</v>
      </c>
    </row>
    <row r="2" spans="1:2" x14ac:dyDescent="0.35">
      <c r="A2" t="s">
        <v>56</v>
      </c>
    </row>
    <row r="4" spans="1:2" x14ac:dyDescent="0.35">
      <c r="A4" t="s">
        <v>55</v>
      </c>
      <c r="B4" s="27">
        <v>45386</v>
      </c>
    </row>
    <row r="6" spans="1:2" x14ac:dyDescent="0.35">
      <c r="A6" s="28" t="s"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E5414-C5BE-4AF9-B75C-360AE4357FB4}">
  <dimension ref="A1:AE30"/>
  <sheetViews>
    <sheetView workbookViewId="0"/>
  </sheetViews>
  <sheetFormatPr defaultRowHeight="14.5" x14ac:dyDescent="0.35"/>
  <cols>
    <col min="1" max="7" width="6.54296875" customWidth="1"/>
    <col min="8" max="8" width="6.26953125" customWidth="1"/>
    <col min="9" max="15" width="6.7265625" customWidth="1"/>
    <col min="16" max="17" width="6.1796875" customWidth="1"/>
    <col min="18" max="18" width="5.1796875" customWidth="1"/>
    <col min="19" max="19" width="6.26953125" customWidth="1"/>
    <col min="25" max="25" width="13.7265625" customWidth="1"/>
    <col min="29" max="29" width="8.7265625" customWidth="1"/>
  </cols>
  <sheetData>
    <row r="1" spans="1:31" x14ac:dyDescent="0.35">
      <c r="A1" s="1" t="s">
        <v>0</v>
      </c>
    </row>
    <row r="3" spans="1:31" x14ac:dyDescent="0.35">
      <c r="A3" s="2" t="s">
        <v>1</v>
      </c>
      <c r="B3" s="2" t="s">
        <v>2</v>
      </c>
      <c r="C3" s="2" t="s">
        <v>3</v>
      </c>
      <c r="D3" s="2">
        <v>1</v>
      </c>
      <c r="E3" s="2">
        <v>2</v>
      </c>
      <c r="F3" s="2">
        <v>3</v>
      </c>
      <c r="G3" s="2">
        <v>4</v>
      </c>
      <c r="I3" s="3" t="s">
        <v>1</v>
      </c>
      <c r="J3" s="3" t="s">
        <v>2</v>
      </c>
      <c r="K3" s="3" t="s">
        <v>3</v>
      </c>
      <c r="L3" s="3" t="s">
        <v>4</v>
      </c>
      <c r="M3" s="3" t="s">
        <v>5</v>
      </c>
      <c r="N3" s="3" t="s">
        <v>6</v>
      </c>
      <c r="O3" s="3" t="s">
        <v>7</v>
      </c>
      <c r="P3" s="3" t="s">
        <v>8</v>
      </c>
      <c r="R3" s="4"/>
      <c r="S3" s="4" t="s">
        <v>9</v>
      </c>
      <c r="T3" s="5" t="s">
        <v>10</v>
      </c>
      <c r="U3" s="5" t="s">
        <v>11</v>
      </c>
      <c r="V3" s="5" t="s">
        <v>12</v>
      </c>
      <c r="W3" s="5" t="s">
        <v>13</v>
      </c>
      <c r="Y3" t="s">
        <v>14</v>
      </c>
    </row>
    <row r="4" spans="1:31" x14ac:dyDescent="0.35">
      <c r="A4" s="6" t="s">
        <v>15</v>
      </c>
      <c r="B4" s="6" t="s">
        <v>15</v>
      </c>
      <c r="C4" s="6" t="s">
        <v>15</v>
      </c>
      <c r="D4" s="6">
        <v>18</v>
      </c>
      <c r="E4" s="6">
        <v>28</v>
      </c>
      <c r="F4" s="6">
        <v>25</v>
      </c>
      <c r="G4" s="6">
        <v>24</v>
      </c>
      <c r="I4" s="7">
        <v>-1</v>
      </c>
      <c r="J4" s="7">
        <v>-1</v>
      </c>
      <c r="K4" s="7">
        <v>-1</v>
      </c>
      <c r="L4" s="7">
        <f t="shared" ref="L4:L11" si="0">I4*J4</f>
        <v>1</v>
      </c>
      <c r="M4" s="7">
        <f t="shared" ref="M4:M11" si="1">I4*K4</f>
        <v>1</v>
      </c>
      <c r="N4" s="7">
        <f>J4*K4</f>
        <v>1</v>
      </c>
      <c r="O4" s="7">
        <f t="shared" ref="O4:O11" si="2">I4*J4*K4</f>
        <v>-1</v>
      </c>
      <c r="P4" s="7">
        <f t="shared" ref="P4:P11" si="3">SUM(D4:G4)</f>
        <v>95</v>
      </c>
      <c r="R4" t="str">
        <f t="array" ref="R4:R10">TRANSPOSE(I3:O3)</f>
        <v>A</v>
      </c>
      <c r="S4">
        <v>1</v>
      </c>
      <c r="T4">
        <f t="array" ref="T4:T10">TRANSPOSE(I13:O13)</f>
        <v>9.03125</v>
      </c>
      <c r="U4">
        <f>T4/S4</f>
        <v>9.03125</v>
      </c>
      <c r="V4">
        <f t="shared" ref="V4:V10" si="4">U4/U$11</f>
        <v>0.36140058357649024</v>
      </c>
      <c r="W4">
        <f t="shared" ref="W4:W10" si="5">FDIST(V4,S4,S$11)</f>
        <v>0.55336561036375886</v>
      </c>
    </row>
    <row r="5" spans="1:31" ht="15" thickBot="1" x14ac:dyDescent="0.4">
      <c r="A5" s="6" t="s">
        <v>16</v>
      </c>
      <c r="B5" s="6" t="s">
        <v>15</v>
      </c>
      <c r="C5" s="6" t="s">
        <v>15</v>
      </c>
      <c r="D5" s="6">
        <v>28</v>
      </c>
      <c r="E5" s="6">
        <v>41</v>
      </c>
      <c r="F5" s="6">
        <v>35</v>
      </c>
      <c r="G5" s="6">
        <v>28</v>
      </c>
      <c r="I5" s="7">
        <v>1</v>
      </c>
      <c r="J5" s="7">
        <v>-1</v>
      </c>
      <c r="K5" s="7">
        <v>-1</v>
      </c>
      <c r="L5" s="7">
        <f t="shared" si="0"/>
        <v>-1</v>
      </c>
      <c r="M5" s="7">
        <f t="shared" si="1"/>
        <v>-1</v>
      </c>
      <c r="N5" s="7">
        <f t="shared" ref="N5:N11" si="6">J5*K5</f>
        <v>1</v>
      </c>
      <c r="O5" s="7">
        <f t="shared" si="2"/>
        <v>1</v>
      </c>
      <c r="P5" s="7">
        <f t="shared" si="3"/>
        <v>132</v>
      </c>
      <c r="R5" t="str">
        <v>B</v>
      </c>
      <c r="S5">
        <v>1</v>
      </c>
      <c r="T5">
        <v>790.03125</v>
      </c>
      <c r="U5">
        <f t="shared" ref="U5:U12" si="7">T5/S5</f>
        <v>790.03125</v>
      </c>
      <c r="V5">
        <f t="shared" si="4"/>
        <v>31.614422676115048</v>
      </c>
      <c r="W5">
        <f t="shared" si="5"/>
        <v>8.6761079131230731E-6</v>
      </c>
      <c r="Y5" s="8" t="s">
        <v>17</v>
      </c>
      <c r="Z5" s="8"/>
    </row>
    <row r="6" spans="1:31" ht="15" thickTop="1" x14ac:dyDescent="0.35">
      <c r="A6" s="6" t="s">
        <v>15</v>
      </c>
      <c r="B6" s="6" t="s">
        <v>16</v>
      </c>
      <c r="C6" s="6" t="s">
        <v>15</v>
      </c>
      <c r="D6" s="6">
        <v>31</v>
      </c>
      <c r="E6" s="6">
        <v>31</v>
      </c>
      <c r="F6" s="6">
        <v>40</v>
      </c>
      <c r="G6" s="6">
        <v>48</v>
      </c>
      <c r="I6" s="7">
        <v>-1</v>
      </c>
      <c r="J6" s="7">
        <v>1</v>
      </c>
      <c r="K6" s="7">
        <v>-1</v>
      </c>
      <c r="L6" s="7">
        <f t="shared" si="0"/>
        <v>-1</v>
      </c>
      <c r="M6" s="7">
        <f t="shared" si="1"/>
        <v>1</v>
      </c>
      <c r="N6" s="7">
        <f t="shared" si="6"/>
        <v>-1</v>
      </c>
      <c r="O6" s="7">
        <f t="shared" si="2"/>
        <v>1</v>
      </c>
      <c r="P6" s="7">
        <f t="shared" si="3"/>
        <v>150</v>
      </c>
      <c r="R6" t="str">
        <v>C</v>
      </c>
      <c r="S6">
        <v>1</v>
      </c>
      <c r="T6">
        <v>294.03125</v>
      </c>
      <c r="U6">
        <f t="shared" si="7"/>
        <v>294.03125</v>
      </c>
      <c r="V6">
        <f t="shared" si="4"/>
        <v>11.766152563568154</v>
      </c>
      <c r="W6">
        <f t="shared" si="5"/>
        <v>2.1888589650529968E-3</v>
      </c>
      <c r="Y6" t="s">
        <v>18</v>
      </c>
      <c r="Z6">
        <f>SQRT(Z7)</f>
        <v>0.84308082295809172</v>
      </c>
    </row>
    <row r="7" spans="1:31" x14ac:dyDescent="0.35">
      <c r="A7" s="6" t="s">
        <v>16</v>
      </c>
      <c r="B7" s="6" t="s">
        <v>16</v>
      </c>
      <c r="C7" s="6" t="s">
        <v>15</v>
      </c>
      <c r="D7" s="6">
        <v>48</v>
      </c>
      <c r="E7" s="6">
        <v>43</v>
      </c>
      <c r="F7" s="6">
        <v>39</v>
      </c>
      <c r="G7" s="6">
        <v>43</v>
      </c>
      <c r="I7" s="7">
        <v>1</v>
      </c>
      <c r="J7" s="7">
        <v>1</v>
      </c>
      <c r="K7" s="7">
        <v>-1</v>
      </c>
      <c r="L7" s="7">
        <f t="shared" si="0"/>
        <v>1</v>
      </c>
      <c r="M7" s="7">
        <f t="shared" si="1"/>
        <v>-1</v>
      </c>
      <c r="N7" s="7">
        <f t="shared" si="6"/>
        <v>-1</v>
      </c>
      <c r="O7" s="7">
        <f t="shared" si="2"/>
        <v>-1</v>
      </c>
      <c r="P7" s="7">
        <f t="shared" si="3"/>
        <v>173</v>
      </c>
      <c r="R7" t="str">
        <v>AB</v>
      </c>
      <c r="S7">
        <v>1</v>
      </c>
      <c r="T7">
        <v>13.78125</v>
      </c>
      <c r="U7">
        <f t="shared" si="7"/>
        <v>13.78125</v>
      </c>
      <c r="V7">
        <f t="shared" si="4"/>
        <v>0.55147978324301794</v>
      </c>
      <c r="W7">
        <f t="shared" si="5"/>
        <v>0.46492072694194386</v>
      </c>
      <c r="Y7" t="s">
        <v>19</v>
      </c>
      <c r="Z7">
        <f>AA14/AA16</f>
        <v>0.71078527403969316</v>
      </c>
    </row>
    <row r="8" spans="1:31" x14ac:dyDescent="0.35">
      <c r="A8" s="6" t="s">
        <v>15</v>
      </c>
      <c r="B8" s="6" t="s">
        <v>15</v>
      </c>
      <c r="C8" s="6" t="s">
        <v>16</v>
      </c>
      <c r="D8" s="6">
        <v>40</v>
      </c>
      <c r="E8" s="6">
        <v>39</v>
      </c>
      <c r="F8" s="6">
        <v>36</v>
      </c>
      <c r="G8" s="6">
        <v>40</v>
      </c>
      <c r="I8" s="7">
        <v>-1</v>
      </c>
      <c r="J8" s="7">
        <v>-1</v>
      </c>
      <c r="K8" s="7">
        <v>1</v>
      </c>
      <c r="L8" s="7">
        <f t="shared" si="0"/>
        <v>1</v>
      </c>
      <c r="M8" s="7">
        <f t="shared" si="1"/>
        <v>-1</v>
      </c>
      <c r="N8" s="7">
        <f t="shared" si="6"/>
        <v>-1</v>
      </c>
      <c r="O8" s="7">
        <f t="shared" si="2"/>
        <v>1</v>
      </c>
      <c r="P8" s="7">
        <f t="shared" si="3"/>
        <v>155</v>
      </c>
      <c r="R8" t="str">
        <v>AC</v>
      </c>
      <c r="S8">
        <v>1</v>
      </c>
      <c r="T8">
        <v>331.53125</v>
      </c>
      <c r="U8">
        <f t="shared" si="7"/>
        <v>331.53125</v>
      </c>
      <c r="V8">
        <f t="shared" si="4"/>
        <v>13.266777824093372</v>
      </c>
      <c r="W8">
        <f t="shared" si="5"/>
        <v>1.2936834759295468E-3</v>
      </c>
      <c r="Y8" t="s">
        <v>20</v>
      </c>
      <c r="Z8">
        <f>1-(1-Z7)*(Z10-1)/(Z10-Z14-1)</f>
        <v>0.62643097896793698</v>
      </c>
    </row>
    <row r="9" spans="1:31" x14ac:dyDescent="0.35">
      <c r="A9" s="6" t="s">
        <v>16</v>
      </c>
      <c r="B9" s="6" t="s">
        <v>15</v>
      </c>
      <c r="C9" s="6" t="s">
        <v>16</v>
      </c>
      <c r="D9" s="6">
        <v>35</v>
      </c>
      <c r="E9" s="6">
        <v>33</v>
      </c>
      <c r="F9" s="6">
        <v>31</v>
      </c>
      <c r="G9" s="6">
        <v>38</v>
      </c>
      <c r="I9" s="7">
        <v>1</v>
      </c>
      <c r="J9" s="7">
        <v>-1</v>
      </c>
      <c r="K9" s="7">
        <v>1</v>
      </c>
      <c r="L9" s="7">
        <f t="shared" si="0"/>
        <v>-1</v>
      </c>
      <c r="M9" s="7">
        <f t="shared" si="1"/>
        <v>1</v>
      </c>
      <c r="N9" s="7">
        <f t="shared" si="6"/>
        <v>-1</v>
      </c>
      <c r="O9" s="7">
        <f t="shared" si="2"/>
        <v>-1</v>
      </c>
      <c r="P9" s="7">
        <f t="shared" si="3"/>
        <v>137</v>
      </c>
      <c r="R9" t="str">
        <v>BC</v>
      </c>
      <c r="S9">
        <v>1</v>
      </c>
      <c r="T9">
        <v>34.03125</v>
      </c>
      <c r="U9">
        <f t="shared" si="7"/>
        <v>34.03125</v>
      </c>
      <c r="V9">
        <f t="shared" si="4"/>
        <v>1.3618174239266361</v>
      </c>
      <c r="W9">
        <f t="shared" si="5"/>
        <v>0.25468728645138533</v>
      </c>
      <c r="Y9" t="s">
        <v>21</v>
      </c>
      <c r="Z9">
        <f>SQRT(AB15)</f>
        <v>4.9989582248037774</v>
      </c>
    </row>
    <row r="10" spans="1:31" x14ac:dyDescent="0.35">
      <c r="A10" s="6" t="s">
        <v>15</v>
      </c>
      <c r="B10" s="6" t="s">
        <v>16</v>
      </c>
      <c r="C10" s="6" t="s">
        <v>16</v>
      </c>
      <c r="D10" s="6">
        <v>50</v>
      </c>
      <c r="E10" s="6">
        <v>45</v>
      </c>
      <c r="F10" s="6">
        <v>43</v>
      </c>
      <c r="G10" s="6">
        <v>52</v>
      </c>
      <c r="I10" s="7">
        <v>-1</v>
      </c>
      <c r="J10" s="7">
        <v>1</v>
      </c>
      <c r="K10" s="7">
        <v>1</v>
      </c>
      <c r="L10" s="7">
        <f t="shared" si="0"/>
        <v>-1</v>
      </c>
      <c r="M10" s="7">
        <f t="shared" si="1"/>
        <v>-1</v>
      </c>
      <c r="N10" s="7">
        <f t="shared" si="6"/>
        <v>1</v>
      </c>
      <c r="O10" s="7">
        <f t="shared" si="2"/>
        <v>-1</v>
      </c>
      <c r="P10" s="7">
        <f t="shared" si="3"/>
        <v>190</v>
      </c>
      <c r="R10" t="str">
        <v>ABC</v>
      </c>
      <c r="S10">
        <v>1</v>
      </c>
      <c r="T10">
        <v>1.53125</v>
      </c>
      <c r="U10">
        <f t="shared" si="7"/>
        <v>1.53125</v>
      </c>
      <c r="V10">
        <f t="shared" si="4"/>
        <v>6.1275531471446439E-2</v>
      </c>
      <c r="W10">
        <f t="shared" si="5"/>
        <v>0.8065966253375999</v>
      </c>
      <c r="Y10" s="9" t="s">
        <v>22</v>
      </c>
      <c r="Z10" s="9">
        <f>COUNT(D4:G11)</f>
        <v>32</v>
      </c>
    </row>
    <row r="11" spans="1:31" x14ac:dyDescent="0.35">
      <c r="A11" s="10" t="s">
        <v>16</v>
      </c>
      <c r="B11" s="10" t="s">
        <v>16</v>
      </c>
      <c r="C11" s="10" t="s">
        <v>16</v>
      </c>
      <c r="D11" s="10">
        <v>35</v>
      </c>
      <c r="E11" s="10">
        <v>38</v>
      </c>
      <c r="F11" s="10">
        <v>45</v>
      </c>
      <c r="G11" s="10">
        <v>47</v>
      </c>
      <c r="I11" s="11">
        <v>1</v>
      </c>
      <c r="J11" s="11">
        <v>1</v>
      </c>
      <c r="K11" s="11">
        <v>1</v>
      </c>
      <c r="L11" s="11">
        <f t="shared" si="0"/>
        <v>1</v>
      </c>
      <c r="M11" s="11">
        <f t="shared" si="1"/>
        <v>1</v>
      </c>
      <c r="N11" s="11">
        <f t="shared" si="6"/>
        <v>1</v>
      </c>
      <c r="O11" s="11">
        <f t="shared" si="2"/>
        <v>1</v>
      </c>
      <c r="P11" s="11">
        <f t="shared" si="3"/>
        <v>165</v>
      </c>
      <c r="R11" s="9" t="s">
        <v>23</v>
      </c>
      <c r="S11" s="9">
        <f>S12-SUM(S4:S10)</f>
        <v>24</v>
      </c>
      <c r="T11" s="9">
        <f>T12-SUM(T4:T10)</f>
        <v>599.75</v>
      </c>
      <c r="U11" s="9">
        <f t="shared" si="7"/>
        <v>24.989583333333332</v>
      </c>
      <c r="V11" s="9"/>
      <c r="W11" s="9"/>
    </row>
    <row r="12" spans="1:31" ht="15" thickBot="1" x14ac:dyDescent="0.4">
      <c r="H12" s="12" t="s">
        <v>24</v>
      </c>
      <c r="I12">
        <f t="shared" ref="I12:O12" si="8">SUMPRODUCT(I4:I11,$P4:$P11)/(2^($B$13-1)*$E$13)</f>
        <v>1.0625</v>
      </c>
      <c r="J12">
        <f t="shared" si="8"/>
        <v>9.9375</v>
      </c>
      <c r="K12">
        <f t="shared" si="8"/>
        <v>6.0625</v>
      </c>
      <c r="L12">
        <f t="shared" si="8"/>
        <v>-1.3125</v>
      </c>
      <c r="M12">
        <f t="shared" si="8"/>
        <v>-6.4375</v>
      </c>
      <c r="N12">
        <f t="shared" si="8"/>
        <v>-2.0625</v>
      </c>
      <c r="O12">
        <f t="shared" si="8"/>
        <v>0.4375</v>
      </c>
      <c r="R12" t="s">
        <v>8</v>
      </c>
      <c r="S12">
        <f>COUNT(D4:G11)-1</f>
        <v>31</v>
      </c>
      <c r="T12">
        <f>DEVSQ(D4:G11)</f>
        <v>2073.71875</v>
      </c>
      <c r="U12">
        <f t="shared" si="7"/>
        <v>66.894153225806448</v>
      </c>
      <c r="Y12" t="s">
        <v>25</v>
      </c>
      <c r="AC12" s="6" t="s">
        <v>26</v>
      </c>
      <c r="AD12" s="6">
        <v>0.05</v>
      </c>
    </row>
    <row r="13" spans="1:31" ht="15" thickTop="1" x14ac:dyDescent="0.35">
      <c r="A13" s="6" t="s">
        <v>27</v>
      </c>
      <c r="B13" s="13">
        <f>COUNTA(A3:C3)</f>
        <v>3</v>
      </c>
      <c r="D13" t="s">
        <v>28</v>
      </c>
      <c r="E13" s="13">
        <f>COUNTA(D3:G3)</f>
        <v>4</v>
      </c>
      <c r="H13" s="12" t="s">
        <v>10</v>
      </c>
      <c r="I13" s="9">
        <f t="shared" ref="I13:O13" si="9">SUMPRODUCT(I4:I11,$P4:$P11)^2/(2^$B$13*$E$13)</f>
        <v>9.03125</v>
      </c>
      <c r="J13" s="9">
        <f t="shared" si="9"/>
        <v>790.03125</v>
      </c>
      <c r="K13" s="9">
        <f t="shared" si="9"/>
        <v>294.03125</v>
      </c>
      <c r="L13" s="9">
        <f t="shared" si="9"/>
        <v>13.78125</v>
      </c>
      <c r="M13" s="9">
        <f t="shared" si="9"/>
        <v>331.53125</v>
      </c>
      <c r="N13" s="9">
        <f t="shared" si="9"/>
        <v>34.03125</v>
      </c>
      <c r="O13" s="9">
        <f t="shared" si="9"/>
        <v>1.53125</v>
      </c>
      <c r="Y13" s="14"/>
      <c r="Z13" s="14" t="s">
        <v>9</v>
      </c>
      <c r="AA13" s="14" t="s">
        <v>10</v>
      </c>
      <c r="AB13" s="14" t="s">
        <v>11</v>
      </c>
      <c r="AC13" s="14" t="s">
        <v>12</v>
      </c>
      <c r="AD13" s="14" t="s">
        <v>13</v>
      </c>
      <c r="AE13" s="14" t="s">
        <v>29</v>
      </c>
    </row>
    <row r="14" spans="1:31" x14ac:dyDescent="0.35">
      <c r="A14" s="6"/>
      <c r="H14" s="6"/>
      <c r="Y14" t="s">
        <v>30</v>
      </c>
      <c r="Z14">
        <f>Z16-Z15</f>
        <v>7</v>
      </c>
      <c r="AA14">
        <f>AA16-AA15</f>
        <v>1473.96875</v>
      </c>
      <c r="AB14">
        <f>AA14/Z14</f>
        <v>210.56696428571428</v>
      </c>
      <c r="AC14">
        <f>AB14/AB15</f>
        <v>8.4261894837134523</v>
      </c>
      <c r="AD14">
        <f>FDIST(AC14,Z14,Z15)</f>
        <v>3.3191163554503695E-5</v>
      </c>
      <c r="AE14" s="6" t="str">
        <f>IF(AD14&lt;AD12,"yes","no")</f>
        <v>yes</v>
      </c>
    </row>
    <row r="15" spans="1:31" x14ac:dyDescent="0.35">
      <c r="H15" t="s">
        <v>31</v>
      </c>
      <c r="I15" s="13">
        <f>AVERAGE(D4:G11)</f>
        <v>37.40625</v>
      </c>
      <c r="R15" s="7"/>
      <c r="S15" s="3" t="s">
        <v>9</v>
      </c>
      <c r="T15" s="3" t="s">
        <v>10</v>
      </c>
      <c r="U15" s="3" t="s">
        <v>11</v>
      </c>
      <c r="V15" s="3" t="s">
        <v>12</v>
      </c>
      <c r="W15" s="3" t="s">
        <v>13</v>
      </c>
      <c r="Y15" t="s">
        <v>32</v>
      </c>
      <c r="Z15">
        <f>S11</f>
        <v>24</v>
      </c>
      <c r="AA15">
        <f>T11</f>
        <v>599.75</v>
      </c>
      <c r="AB15">
        <f>AA15/Z15</f>
        <v>24.989583333333332</v>
      </c>
    </row>
    <row r="16" spans="1:31" x14ac:dyDescent="0.35">
      <c r="R16" t="s">
        <v>1</v>
      </c>
      <c r="S16">
        <v>1</v>
      </c>
      <c r="T16">
        <f t="array" ref="T16:T18">TRANSPOSE(I13:K13)</f>
        <v>9.03125</v>
      </c>
      <c r="U16">
        <f>T16/S16</f>
        <v>9.03125</v>
      </c>
      <c r="V16">
        <f>U16/U$19</f>
        <v>0.25787125557680052</v>
      </c>
      <c r="W16">
        <f>FDIST(V16,S16,S$19)</f>
        <v>0.61556356044314553</v>
      </c>
      <c r="Y16" s="9" t="s">
        <v>33</v>
      </c>
      <c r="Z16" s="9">
        <f>S12</f>
        <v>31</v>
      </c>
      <c r="AA16" s="9">
        <f>T12</f>
        <v>2073.71875</v>
      </c>
      <c r="AB16" s="9"/>
      <c r="AC16" s="9"/>
      <c r="AD16" s="9"/>
      <c r="AE16" s="9"/>
    </row>
    <row r="17" spans="8:31" ht="15" thickBot="1" x14ac:dyDescent="0.4">
      <c r="H17" s="6" t="s">
        <v>34</v>
      </c>
      <c r="I17" s="15">
        <f>I12/2</f>
        <v>0.53125</v>
      </c>
      <c r="J17" s="15">
        <f t="shared" ref="J17:O17" si="10">J12/2</f>
        <v>4.96875</v>
      </c>
      <c r="K17" s="15">
        <f t="shared" si="10"/>
        <v>3.03125</v>
      </c>
      <c r="L17" s="15">
        <f t="shared" si="10"/>
        <v>-0.65625</v>
      </c>
      <c r="M17" s="15">
        <f t="shared" si="10"/>
        <v>-3.21875</v>
      </c>
      <c r="N17" s="15">
        <f t="shared" si="10"/>
        <v>-1.03125</v>
      </c>
      <c r="O17" s="15">
        <f t="shared" si="10"/>
        <v>0.21875</v>
      </c>
      <c r="R17" t="s">
        <v>2</v>
      </c>
      <c r="S17">
        <v>1</v>
      </c>
      <c r="T17">
        <v>790.03125</v>
      </c>
      <c r="U17">
        <f>T17/S17</f>
        <v>790.03125</v>
      </c>
      <c r="V17">
        <f>U17/U$19</f>
        <v>22.557934990439769</v>
      </c>
      <c r="W17">
        <f>FDIST(V17,S17,S$19)</f>
        <v>5.5003946711702652E-5</v>
      </c>
    </row>
    <row r="18" spans="8:31" ht="15" thickTop="1" x14ac:dyDescent="0.35">
      <c r="R18" t="s">
        <v>3</v>
      </c>
      <c r="S18">
        <v>1</v>
      </c>
      <c r="T18">
        <v>294.03125</v>
      </c>
      <c r="U18">
        <f>T18/S18</f>
        <v>294.03125</v>
      </c>
      <c r="V18">
        <f>U18/U$19</f>
        <v>8.3955385595920973</v>
      </c>
      <c r="W18">
        <f>FDIST(V18,S18,S$19)</f>
        <v>7.2268698691881211E-3</v>
      </c>
      <c r="Y18" s="14"/>
      <c r="Z18" s="14" t="s">
        <v>34</v>
      </c>
      <c r="AA18" s="14" t="s">
        <v>35</v>
      </c>
      <c r="AB18" s="14" t="s">
        <v>36</v>
      </c>
      <c r="AC18" s="14" t="s">
        <v>13</v>
      </c>
      <c r="AD18" s="14" t="s">
        <v>37</v>
      </c>
      <c r="AE18" s="14" t="s">
        <v>38</v>
      </c>
    </row>
    <row r="19" spans="8:31" x14ac:dyDescent="0.35">
      <c r="H19" s="5"/>
      <c r="I19" s="5" t="s">
        <v>24</v>
      </c>
      <c r="J19" s="5" t="s">
        <v>39</v>
      </c>
      <c r="K19" s="5" t="s">
        <v>40</v>
      </c>
      <c r="L19" s="5" t="s">
        <v>41</v>
      </c>
      <c r="M19" s="5" t="s">
        <v>37</v>
      </c>
      <c r="N19" s="5" t="s">
        <v>38</v>
      </c>
      <c r="R19" t="s">
        <v>23</v>
      </c>
      <c r="S19" s="9">
        <f>S20-SUM(S16:S18)</f>
        <v>28</v>
      </c>
      <c r="T19" s="9">
        <f>T20-SUM(T16:T18)</f>
        <v>980.625</v>
      </c>
      <c r="U19" s="9">
        <f>T19/S19</f>
        <v>35.022321428571431</v>
      </c>
      <c r="V19" s="9"/>
      <c r="W19" s="9"/>
      <c r="Y19" t="s">
        <v>42</v>
      </c>
      <c r="Z19">
        <f>I15</f>
        <v>37.40625</v>
      </c>
      <c r="AA19">
        <f>AA20</f>
        <v>0.88369931490675413</v>
      </c>
      <c r="AB19">
        <f>Z19/AA19</f>
        <v>42.32916034788034</v>
      </c>
      <c r="AC19">
        <f>TDIST(ABS(AB19),Z$15,2)</f>
        <v>4.6112377085110717E-24</v>
      </c>
      <c r="AD19">
        <f>AB19-TINV($AD$12,Z$15)*AA19</f>
        <v>40.505294602932615</v>
      </c>
      <c r="AE19">
        <f>AB19+TINV($AD$12,Z$15)*AA19</f>
        <v>44.153026092828064</v>
      </c>
    </row>
    <row r="20" spans="8:31" x14ac:dyDescent="0.35">
      <c r="H20" t="str">
        <f t="array" ref="H20:H26">TRANSPOSE(I3:O3)</f>
        <v>A</v>
      </c>
      <c r="I20">
        <f t="array" ref="I20:I26">TRANSPOSE(I12:O12)</f>
        <v>1.0625</v>
      </c>
      <c r="J20">
        <f>SQRT(U11/(2*E13))</f>
        <v>1.7673986298135083</v>
      </c>
      <c r="K20">
        <f>I20/J20</f>
        <v>0.60116601997825048</v>
      </c>
      <c r="L20">
        <f>TDIST(ABS(K20),$S$11,2)</f>
        <v>0.55336561036375886</v>
      </c>
      <c r="M20">
        <f>I20-J20*TINV(0.05,$S$11)</f>
        <v>-2.5852314898954427</v>
      </c>
      <c r="N20">
        <f>I20+J20*TINV(0.05,$S$11)</f>
        <v>4.7102314898954427</v>
      </c>
      <c r="R20" t="s">
        <v>8</v>
      </c>
      <c r="S20">
        <f>COUNT(D4:G11)-1</f>
        <v>31</v>
      </c>
      <c r="T20">
        <f>DEVSQ(D4:G11)</f>
        <v>2073.71875</v>
      </c>
      <c r="U20">
        <f>T20/S20</f>
        <v>66.894153225806448</v>
      </c>
      <c r="Y20" t="s">
        <v>1</v>
      </c>
      <c r="Z20">
        <f t="array" ref="Z20:Z26">TRANSPOSE(I17:O17)</f>
        <v>0.53125</v>
      </c>
      <c r="AA20">
        <f>J20/2</f>
        <v>0.88369931490675413</v>
      </c>
      <c r="AB20">
        <f t="shared" ref="AB20:AB26" si="11">Z20/AA20</f>
        <v>0.60116601997825048</v>
      </c>
      <c r="AC20">
        <f t="shared" ref="AC20:AC26" si="12">TDIST(ABS(AB20),Z$15,2)</f>
        <v>0.55336561036375886</v>
      </c>
      <c r="AD20">
        <f t="shared" ref="AD20:AD26" si="13">AB20-TINV($AD$12,Z$15)*AA20</f>
        <v>-1.2226997249694709</v>
      </c>
      <c r="AE20">
        <f t="shared" ref="AE20:AE26" si="14">AB20+TINV($AD$12,Z$15)*AA20</f>
        <v>2.4250317649259721</v>
      </c>
    </row>
    <row r="21" spans="8:31" x14ac:dyDescent="0.35">
      <c r="H21" t="str">
        <v>B</v>
      </c>
      <c r="I21">
        <v>9.9375</v>
      </c>
      <c r="J21">
        <f t="shared" ref="J21:J26" si="15">J20</f>
        <v>1.7673986298135083</v>
      </c>
      <c r="K21">
        <f t="shared" ref="K21:K26" si="16">I21/J21</f>
        <v>5.6226704221495192</v>
      </c>
      <c r="L21">
        <f t="shared" ref="L21:L26" si="17">TDIST(ABS(K21),$S$11,2)</f>
        <v>8.6761079131230578E-6</v>
      </c>
      <c r="M21">
        <f t="shared" ref="M21:M26" si="18">I21-J21*TINV(0.05,$S$11)</f>
        <v>6.2897685101045573</v>
      </c>
      <c r="N21">
        <f t="shared" ref="N21:N26" si="19">I21+J21*TINV(0.05,$S$11)</f>
        <v>13.585231489895442</v>
      </c>
      <c r="Y21" t="s">
        <v>2</v>
      </c>
      <c r="Z21">
        <v>4.96875</v>
      </c>
      <c r="AA21">
        <f t="shared" ref="AA21:AA26" si="20">AA20</f>
        <v>0.88369931490675413</v>
      </c>
      <c r="AB21">
        <f t="shared" si="11"/>
        <v>5.6226704221495192</v>
      </c>
      <c r="AC21">
        <f t="shared" si="12"/>
        <v>8.6761079131230578E-6</v>
      </c>
      <c r="AD21">
        <f t="shared" si="13"/>
        <v>3.7988046772017978</v>
      </c>
      <c r="AE21">
        <f t="shared" si="14"/>
        <v>7.446536167097241</v>
      </c>
    </row>
    <row r="22" spans="8:31" x14ac:dyDescent="0.35">
      <c r="H22" t="str">
        <v>C</v>
      </c>
      <c r="I22">
        <v>6.0625</v>
      </c>
      <c r="J22">
        <f t="shared" si="15"/>
        <v>1.7673986298135083</v>
      </c>
      <c r="K22">
        <f t="shared" si="16"/>
        <v>3.4301825845817819</v>
      </c>
      <c r="L22">
        <f t="shared" si="17"/>
        <v>2.1888589650529968E-3</v>
      </c>
      <c r="M22">
        <f t="shared" si="18"/>
        <v>2.4147685101045573</v>
      </c>
      <c r="N22">
        <f t="shared" si="19"/>
        <v>9.7102314898954418</v>
      </c>
      <c r="R22" s="7"/>
      <c r="S22" s="3" t="s">
        <v>9</v>
      </c>
      <c r="T22" s="3" t="s">
        <v>10</v>
      </c>
      <c r="U22" s="3" t="s">
        <v>11</v>
      </c>
      <c r="V22" s="3" t="s">
        <v>12</v>
      </c>
      <c r="W22" s="3" t="s">
        <v>13</v>
      </c>
      <c r="Y22" t="s">
        <v>3</v>
      </c>
      <c r="Z22">
        <v>3.03125</v>
      </c>
      <c r="AA22">
        <f t="shared" si="20"/>
        <v>0.88369931490675413</v>
      </c>
      <c r="AB22">
        <f t="shared" si="11"/>
        <v>3.4301825845817819</v>
      </c>
      <c r="AC22">
        <f t="shared" si="12"/>
        <v>2.1888589650529968E-3</v>
      </c>
      <c r="AD22">
        <f t="shared" si="13"/>
        <v>1.6063168396340606</v>
      </c>
      <c r="AE22">
        <f t="shared" si="14"/>
        <v>5.2540483295295033</v>
      </c>
    </row>
    <row r="23" spans="8:31" x14ac:dyDescent="0.35">
      <c r="H23" t="str">
        <v>AB</v>
      </c>
      <c r="I23">
        <v>-1.3125</v>
      </c>
      <c r="J23">
        <f t="shared" si="15"/>
        <v>1.7673986298135083</v>
      </c>
      <c r="K23">
        <f t="shared" si="16"/>
        <v>-0.74261684820842699</v>
      </c>
      <c r="L23">
        <f t="shared" si="17"/>
        <v>0.46492072694194386</v>
      </c>
      <c r="M23">
        <f t="shared" si="18"/>
        <v>-4.9602314898954427</v>
      </c>
      <c r="N23">
        <f t="shared" si="19"/>
        <v>2.3352314898954427</v>
      </c>
      <c r="R23" t="str">
        <f t="array" ref="R23:R28">TRANSPOSE(I3:N3)</f>
        <v>A</v>
      </c>
      <c r="S23">
        <v>1</v>
      </c>
      <c r="T23">
        <f t="array" ref="T23:T28">TRANSPOSE(I13:N13)</f>
        <v>9.03125</v>
      </c>
      <c r="U23">
        <f>T23/S23</f>
        <v>9.03125</v>
      </c>
      <c r="V23">
        <f t="shared" ref="V23:V28" si="21">U23/U$29</f>
        <v>0.37550023387557818</v>
      </c>
      <c r="W23">
        <f t="shared" ref="W23:W28" si="22">FDIST(V23,S23,S$29)</f>
        <v>0.54555581245366047</v>
      </c>
      <c r="Y23" s="16" t="s">
        <v>4</v>
      </c>
      <c r="Z23">
        <v>-0.65625</v>
      </c>
      <c r="AA23">
        <f t="shared" si="20"/>
        <v>0.88369931490675413</v>
      </c>
      <c r="AB23">
        <f t="shared" si="11"/>
        <v>-0.74261684820842699</v>
      </c>
      <c r="AC23">
        <f t="shared" si="12"/>
        <v>0.46492072694194386</v>
      </c>
      <c r="AD23">
        <f t="shared" si="13"/>
        <v>-2.5664825931561484</v>
      </c>
      <c r="AE23">
        <f t="shared" si="14"/>
        <v>1.0812488967392944</v>
      </c>
    </row>
    <row r="24" spans="8:31" x14ac:dyDescent="0.35">
      <c r="H24" t="str">
        <v>AC</v>
      </c>
      <c r="I24">
        <v>-6.4375</v>
      </c>
      <c r="J24">
        <f t="shared" si="15"/>
        <v>1.7673986298135083</v>
      </c>
      <c r="K24">
        <f t="shared" si="16"/>
        <v>-3.642358826927047</v>
      </c>
      <c r="L24">
        <f t="shared" si="17"/>
        <v>1.2936834759295468E-3</v>
      </c>
      <c r="M24">
        <f t="shared" si="18"/>
        <v>-10.085231489895442</v>
      </c>
      <c r="N24">
        <f t="shared" si="19"/>
        <v>-2.7897685101045573</v>
      </c>
      <c r="R24" t="str">
        <v>B</v>
      </c>
      <c r="S24">
        <v>1</v>
      </c>
      <c r="T24">
        <v>790.03125</v>
      </c>
      <c r="U24">
        <f t="shared" ref="U24:U30" si="23">T24/S24</f>
        <v>790.03125</v>
      </c>
      <c r="V24">
        <f t="shared" si="21"/>
        <v>32.84782495712281</v>
      </c>
      <c r="W24">
        <f t="shared" si="22"/>
        <v>5.6970288519093843E-6</v>
      </c>
      <c r="Y24" t="s">
        <v>5</v>
      </c>
      <c r="Z24">
        <v>-3.21875</v>
      </c>
      <c r="AA24">
        <f t="shared" si="20"/>
        <v>0.88369931490675413</v>
      </c>
      <c r="AB24">
        <f t="shared" si="11"/>
        <v>-3.642358826927047</v>
      </c>
      <c r="AC24">
        <f t="shared" si="12"/>
        <v>1.2936834759295468E-3</v>
      </c>
      <c r="AD24">
        <f t="shared" si="13"/>
        <v>-5.4662245718747684</v>
      </c>
      <c r="AE24">
        <f t="shared" si="14"/>
        <v>-1.8184930819793257</v>
      </c>
    </row>
    <row r="25" spans="8:31" x14ac:dyDescent="0.35">
      <c r="H25" t="str">
        <v>BC</v>
      </c>
      <c r="I25">
        <v>-2.0625</v>
      </c>
      <c r="J25">
        <f t="shared" si="15"/>
        <v>1.7673986298135083</v>
      </c>
      <c r="K25">
        <f t="shared" si="16"/>
        <v>-1.1669693328989568</v>
      </c>
      <c r="L25">
        <f t="shared" si="17"/>
        <v>0.25468728645138533</v>
      </c>
      <c r="M25">
        <f t="shared" si="18"/>
        <v>-5.7102314898954427</v>
      </c>
      <c r="N25">
        <f t="shared" si="19"/>
        <v>1.5852314898954427</v>
      </c>
      <c r="R25" t="str">
        <v>C</v>
      </c>
      <c r="S25">
        <v>1</v>
      </c>
      <c r="T25">
        <v>294.03125</v>
      </c>
      <c r="U25">
        <f t="shared" si="23"/>
        <v>294.03125</v>
      </c>
      <c r="V25">
        <f t="shared" si="21"/>
        <v>12.225196195623928</v>
      </c>
      <c r="W25">
        <f t="shared" si="22"/>
        <v>1.7812604911173807E-3</v>
      </c>
      <c r="Y25" t="s">
        <v>6</v>
      </c>
      <c r="Z25">
        <v>-1.03125</v>
      </c>
      <c r="AA25">
        <f t="shared" si="20"/>
        <v>0.88369931490675413</v>
      </c>
      <c r="AB25">
        <f t="shared" si="11"/>
        <v>-1.1669693328989568</v>
      </c>
      <c r="AC25">
        <f t="shared" si="12"/>
        <v>0.25468728645138533</v>
      </c>
      <c r="AD25">
        <f t="shared" si="13"/>
        <v>-2.9908350778466781</v>
      </c>
      <c r="AE25">
        <f t="shared" si="14"/>
        <v>0.65689641204876459</v>
      </c>
    </row>
    <row r="26" spans="8:31" x14ac:dyDescent="0.35">
      <c r="H26" s="9" t="str">
        <v>ABC</v>
      </c>
      <c r="I26" s="9">
        <v>0.4375</v>
      </c>
      <c r="J26" s="9">
        <f t="shared" si="15"/>
        <v>1.7673986298135083</v>
      </c>
      <c r="K26" s="9">
        <f t="shared" si="16"/>
        <v>0.24753894940280902</v>
      </c>
      <c r="L26" s="9">
        <f t="shared" si="17"/>
        <v>0.8065966253375999</v>
      </c>
      <c r="M26" s="9">
        <f t="shared" si="18"/>
        <v>-3.2102314898954427</v>
      </c>
      <c r="N26" s="9">
        <f t="shared" si="19"/>
        <v>4.0852314898954427</v>
      </c>
      <c r="R26" t="str">
        <v>AB</v>
      </c>
      <c r="S26">
        <v>1</v>
      </c>
      <c r="T26">
        <v>13.78125</v>
      </c>
      <c r="U26">
        <f t="shared" si="23"/>
        <v>13.78125</v>
      </c>
      <c r="V26">
        <f t="shared" si="21"/>
        <v>0.57299516657138405</v>
      </c>
      <c r="W26">
        <f t="shared" si="22"/>
        <v>0.45614650712980642</v>
      </c>
      <c r="Y26" s="9" t="s">
        <v>7</v>
      </c>
      <c r="Z26" s="9">
        <v>0.21875</v>
      </c>
      <c r="AA26" s="9">
        <f t="shared" si="20"/>
        <v>0.88369931490675413</v>
      </c>
      <c r="AB26" s="9">
        <f t="shared" si="11"/>
        <v>0.24753894940280902</v>
      </c>
      <c r="AC26" s="9">
        <f t="shared" si="12"/>
        <v>0.8065966253375999</v>
      </c>
      <c r="AD26" s="9">
        <f t="shared" si="13"/>
        <v>-1.5763267955449123</v>
      </c>
      <c r="AE26" s="9">
        <f t="shared" si="14"/>
        <v>2.0714046943505302</v>
      </c>
    </row>
    <row r="27" spans="8:31" x14ac:dyDescent="0.35">
      <c r="R27" t="str">
        <v>AC</v>
      </c>
      <c r="S27">
        <v>1</v>
      </c>
      <c r="T27">
        <v>331.53125</v>
      </c>
      <c r="U27">
        <f t="shared" si="23"/>
        <v>331.53125</v>
      </c>
      <c r="V27">
        <f t="shared" si="21"/>
        <v>13.784366716906606</v>
      </c>
      <c r="W27">
        <f t="shared" si="22"/>
        <v>1.0320246749443214E-3</v>
      </c>
    </row>
    <row r="28" spans="8:31" x14ac:dyDescent="0.35">
      <c r="R28" t="str">
        <v>BC</v>
      </c>
      <c r="S28">
        <v>1</v>
      </c>
      <c r="T28">
        <v>34.03125</v>
      </c>
      <c r="U28">
        <f t="shared" si="23"/>
        <v>34.03125</v>
      </c>
      <c r="V28">
        <f t="shared" si="21"/>
        <v>1.4149472480640299</v>
      </c>
      <c r="W28">
        <f t="shared" si="22"/>
        <v>0.24541191389393843</v>
      </c>
    </row>
    <row r="29" spans="8:31" x14ac:dyDescent="0.35">
      <c r="R29" t="s">
        <v>23</v>
      </c>
      <c r="S29" s="9">
        <f>S30-SUM(S23:S28)</f>
        <v>25</v>
      </c>
      <c r="T29" s="9">
        <f>T30-SUM(T23:T28)</f>
        <v>601.28125</v>
      </c>
      <c r="U29" s="9">
        <f t="shared" si="23"/>
        <v>24.05125</v>
      </c>
      <c r="V29" s="9"/>
      <c r="W29" s="9"/>
    </row>
    <row r="30" spans="8:31" x14ac:dyDescent="0.35">
      <c r="R30" t="s">
        <v>8</v>
      </c>
      <c r="S30">
        <f>COUNT(D4:G11)-1</f>
        <v>31</v>
      </c>
      <c r="T30">
        <f>DEVSQ(D4:G11)</f>
        <v>2073.71875</v>
      </c>
      <c r="U30">
        <f t="shared" si="23"/>
        <v>66.894153225806448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EB661-5F50-45C5-8D3E-7B701F7C2C56}">
  <dimension ref="A1:V32"/>
  <sheetViews>
    <sheetView tabSelected="1" workbookViewId="0"/>
  </sheetViews>
  <sheetFormatPr defaultRowHeight="14.5" x14ac:dyDescent="0.35"/>
  <sheetData>
    <row r="1" spans="1:22" x14ac:dyDescent="0.35">
      <c r="A1" s="1" t="s">
        <v>0</v>
      </c>
    </row>
    <row r="3" spans="1:22" x14ac:dyDescent="0.35">
      <c r="A3" s="2" t="s">
        <v>1</v>
      </c>
      <c r="B3" s="2" t="s">
        <v>2</v>
      </c>
      <c r="C3" s="2" t="s">
        <v>3</v>
      </c>
      <c r="D3" s="2">
        <v>1</v>
      </c>
      <c r="E3" s="2">
        <v>2</v>
      </c>
      <c r="F3" s="2">
        <v>3</v>
      </c>
      <c r="G3" s="2">
        <v>4</v>
      </c>
      <c r="I3" t="s">
        <v>43</v>
      </c>
      <c r="O3" t="s">
        <v>44</v>
      </c>
    </row>
    <row r="4" spans="1:22" x14ac:dyDescent="0.35">
      <c r="A4" s="6" t="s">
        <v>15</v>
      </c>
      <c r="B4" s="6" t="s">
        <v>15</v>
      </c>
      <c r="C4" s="6" t="s">
        <v>15</v>
      </c>
      <c r="D4" s="6">
        <v>18</v>
      </c>
      <c r="E4" s="6">
        <v>28</v>
      </c>
      <c r="F4" s="6">
        <v>25</v>
      </c>
      <c r="G4" s="6">
        <v>24</v>
      </c>
    </row>
    <row r="5" spans="1:22" ht="15" thickBot="1" x14ac:dyDescent="0.4">
      <c r="A5" s="6" t="s">
        <v>16</v>
      </c>
      <c r="B5" s="6" t="s">
        <v>15</v>
      </c>
      <c r="C5" s="6" t="s">
        <v>15</v>
      </c>
      <c r="D5" s="6">
        <v>28</v>
      </c>
      <c r="E5" s="6">
        <v>41</v>
      </c>
      <c r="F5" s="6">
        <v>35</v>
      </c>
      <c r="G5" s="6">
        <v>28</v>
      </c>
      <c r="L5" s="7" t="s">
        <v>45</v>
      </c>
      <c r="M5" s="7" t="s">
        <v>46</v>
      </c>
      <c r="N5" s="7" t="s">
        <v>47</v>
      </c>
      <c r="P5" t="s">
        <v>25</v>
      </c>
      <c r="T5" s="6" t="s">
        <v>26</v>
      </c>
      <c r="U5" s="6">
        <v>0.05</v>
      </c>
    </row>
    <row r="6" spans="1:22" ht="15" thickTop="1" x14ac:dyDescent="0.35">
      <c r="A6" s="6" t="s">
        <v>15</v>
      </c>
      <c r="B6" s="6" t="s">
        <v>16</v>
      </c>
      <c r="C6" s="6" t="s">
        <v>15</v>
      </c>
      <c r="D6" s="6">
        <v>31</v>
      </c>
      <c r="E6" s="6">
        <v>31</v>
      </c>
      <c r="F6" s="6">
        <v>40</v>
      </c>
      <c r="G6" s="6">
        <v>48</v>
      </c>
      <c r="I6" s="17" t="e">
        <f t="array" aca="1" ref="I6:I7" ca="1">ExtractUnique(A4:A11)</f>
        <v>#NAME?</v>
      </c>
      <c r="J6" s="19"/>
      <c r="K6" s="20"/>
      <c r="L6" s="17">
        <f ca="1">SUMIF($I$24:$I$31,I6,$L$24:$L$31)</f>
        <v>0</v>
      </c>
      <c r="M6" s="19" t="str">
        <f t="array" aca="1" ref="M6" ca="1">IF(L6=0,"",AVERAGE(IF($A$4:$A$11=I6,$D$4:$G$11,"")))</f>
        <v/>
      </c>
      <c r="N6" s="20" t="str">
        <f t="array" aca="1" ref="N6" ca="1">IF(L6&lt;2,"",VAR(IF($A$4:$A$11=I6,$D$4:$G$11,"")))</f>
        <v/>
      </c>
      <c r="P6" s="14"/>
      <c r="Q6" s="14" t="s">
        <v>10</v>
      </c>
      <c r="R6" s="14" t="s">
        <v>9</v>
      </c>
      <c r="S6" s="14" t="s">
        <v>11</v>
      </c>
      <c r="T6" s="14" t="s">
        <v>12</v>
      </c>
      <c r="U6" s="14" t="s">
        <v>13</v>
      </c>
      <c r="V6" s="14" t="s">
        <v>48</v>
      </c>
    </row>
    <row r="7" spans="1:22" x14ac:dyDescent="0.35">
      <c r="A7" s="6" t="s">
        <v>16</v>
      </c>
      <c r="B7" s="6" t="s">
        <v>16</v>
      </c>
      <c r="C7" s="6" t="s">
        <v>15</v>
      </c>
      <c r="D7" s="6">
        <v>48</v>
      </c>
      <c r="E7" s="6">
        <v>43</v>
      </c>
      <c r="F7" s="6">
        <v>39</v>
      </c>
      <c r="G7" s="6">
        <v>43</v>
      </c>
      <c r="I7" s="18" t="e">
        <f ca="1"/>
        <v>#NAME?</v>
      </c>
      <c r="K7" s="21"/>
      <c r="L7" s="18">
        <f ca="1">SUMIF($I$24:$I$31,I7,$L$24:$L$31)</f>
        <v>0</v>
      </c>
      <c r="M7" t="str">
        <f t="array" aca="1" ref="M7" ca="1">IF(L7=0,"",AVERAGE(IF($A$4:$A$11=I7,$D$4:$G$11,"")))</f>
        <v/>
      </c>
      <c r="N7" s="21" t="str">
        <f t="array" aca="1" ref="N7" ca="1">IF(L7&lt;2,"",VAR(IF($A$4:$A$11=I7,$D$4:$G$11,"")))</f>
        <v/>
      </c>
      <c r="P7" t="s">
        <v>1</v>
      </c>
      <c r="Q7" t="e">
        <f ca="1">DEVSQ(M6:M7)*L6</f>
        <v>#NUM!</v>
      </c>
      <c r="R7">
        <f ca="1">COUNT(M6:M7)-1</f>
        <v>-1</v>
      </c>
      <c r="S7" t="e">
        <f t="shared" ref="S7:S15" ca="1" si="0">Q7/R7</f>
        <v>#NUM!</v>
      </c>
      <c r="T7" t="e">
        <f ca="1">S7/S14</f>
        <v>#NUM!</v>
      </c>
      <c r="U7" t="e">
        <f ca="1">FDIST(T7,R7,R14)</f>
        <v>#NUM!</v>
      </c>
      <c r="V7" s="6" t="e">
        <f ca="1">Q7/(Q7+Q14)</f>
        <v>#NUM!</v>
      </c>
    </row>
    <row r="8" spans="1:22" x14ac:dyDescent="0.35">
      <c r="A8" s="6" t="s">
        <v>15</v>
      </c>
      <c r="B8" s="6" t="s">
        <v>15</v>
      </c>
      <c r="C8" s="6" t="s">
        <v>16</v>
      </c>
      <c r="D8" s="6">
        <v>40</v>
      </c>
      <c r="E8" s="6">
        <v>39</v>
      </c>
      <c r="F8" s="6">
        <v>36</v>
      </c>
      <c r="G8" s="6">
        <v>40</v>
      </c>
      <c r="I8" s="18"/>
      <c r="J8" t="e">
        <f t="array" aca="1" ref="J8:J9" ca="1">ExtractUnique(B4:B11)</f>
        <v>#NAME?</v>
      </c>
      <c r="K8" s="21"/>
      <c r="L8" s="18">
        <f ca="1">SUMIF($J$24:$J$31,J8,$L$24:$L$31)</f>
        <v>0</v>
      </c>
      <c r="M8" t="str">
        <f t="array" aca="1" ref="M8" ca="1">IF(L8=0,"",AVERAGE(IF($B$4:$B$11=J8,$D$4:$G$11,"")))</f>
        <v/>
      </c>
      <c r="N8" s="21" t="str">
        <f t="array" aca="1" ref="N8" ca="1">IF(L8&lt;2,"",VAR(IF($B$4:$B$11=J8,$D$4:$G$11,"")))</f>
        <v/>
      </c>
      <c r="P8" t="s">
        <v>2</v>
      </c>
      <c r="Q8" t="e">
        <f ca="1">DEVSQ(M8:M9)*L8</f>
        <v>#NUM!</v>
      </c>
      <c r="R8">
        <f ca="1">COUNT(M8:M9)-1</f>
        <v>-1</v>
      </c>
      <c r="S8" t="e">
        <f t="shared" ca="1" si="0"/>
        <v>#NUM!</v>
      </c>
      <c r="T8" t="e">
        <f ca="1">S8/S14</f>
        <v>#NUM!</v>
      </c>
      <c r="U8" t="e">
        <f ca="1">FDIST(T8,R8,R14)</f>
        <v>#NUM!</v>
      </c>
      <c r="V8" s="6" t="e">
        <f ca="1">Q8/(Q8+Q14)</f>
        <v>#NUM!</v>
      </c>
    </row>
    <row r="9" spans="1:22" x14ac:dyDescent="0.35">
      <c r="A9" s="6" t="s">
        <v>16</v>
      </c>
      <c r="B9" s="6" t="s">
        <v>15</v>
      </c>
      <c r="C9" s="6" t="s">
        <v>16</v>
      </c>
      <c r="D9" s="6">
        <v>35</v>
      </c>
      <c r="E9" s="6">
        <v>33</v>
      </c>
      <c r="F9" s="6">
        <v>31</v>
      </c>
      <c r="G9" s="6">
        <v>38</v>
      </c>
      <c r="I9" s="18"/>
      <c r="J9" t="e">
        <f ca="1"/>
        <v>#NAME?</v>
      </c>
      <c r="K9" s="21"/>
      <c r="L9" s="18">
        <f ca="1">SUMIF($J$24:$J$31,J9,$L$24:$L$31)</f>
        <v>0</v>
      </c>
      <c r="M9" t="str">
        <f t="array" aca="1" ref="M9" ca="1">IF(L9=0,"",AVERAGE(IF($B$4:$B$11=J9,$D$4:$G$11,"")))</f>
        <v/>
      </c>
      <c r="N9" s="21" t="str">
        <f t="array" aca="1" ref="N9" ca="1">IF(L9&lt;2,"",VAR(IF($B$4:$B$11=J9,$D$4:$G$11,"")))</f>
        <v/>
      </c>
      <c r="P9" t="s">
        <v>3</v>
      </c>
      <c r="Q9" t="e">
        <f ca="1">DEVSQ(M10:M11)*L10</f>
        <v>#NUM!</v>
      </c>
      <c r="R9">
        <f ca="1">COUNT(M10:M11)-1</f>
        <v>-1</v>
      </c>
      <c r="S9" t="e">
        <f t="shared" ca="1" si="0"/>
        <v>#NUM!</v>
      </c>
      <c r="T9" t="e">
        <f ca="1">S9/S14</f>
        <v>#NUM!</v>
      </c>
      <c r="U9" t="e">
        <f ca="1">FDIST(T9,R9,R14)</f>
        <v>#NUM!</v>
      </c>
      <c r="V9" s="6" t="e">
        <f ca="1">Q9/(Q9+Q14)</f>
        <v>#NUM!</v>
      </c>
    </row>
    <row r="10" spans="1:22" x14ac:dyDescent="0.35">
      <c r="A10" s="6" t="s">
        <v>15</v>
      </c>
      <c r="B10" s="6" t="s">
        <v>16</v>
      </c>
      <c r="C10" s="6" t="s">
        <v>16</v>
      </c>
      <c r="D10" s="6">
        <v>50</v>
      </c>
      <c r="E10" s="6">
        <v>45</v>
      </c>
      <c r="F10" s="6">
        <v>43</v>
      </c>
      <c r="G10" s="6">
        <v>52</v>
      </c>
      <c r="I10" s="18"/>
      <c r="K10" s="21" t="e">
        <f t="array" aca="1" ref="K10:K11" ca="1">ExtractUnique(C4:C11)</f>
        <v>#NAME?</v>
      </c>
      <c r="L10" s="18">
        <f ca="1">SUMIF($K$24:$K$31,K10,$L$24:$L$31)</f>
        <v>0</v>
      </c>
      <c r="M10" t="str">
        <f t="array" aca="1" ref="M10" ca="1">IF(L10=0,"",AVERAGE(IF($C$4:$C$11=K10,$D$4:$G$11,"")))</f>
        <v/>
      </c>
      <c r="N10" s="21" t="str">
        <f t="array" aca="1" ref="N10" ca="1">IF(L10&lt;2,"",VAR(IF($C$4:$C$11=K10,$D$4:$G$11,"")))</f>
        <v/>
      </c>
      <c r="P10" t="s">
        <v>49</v>
      </c>
      <c r="Q10" t="e">
        <f ca="1">DEVSQ(M12:M15)*L12-Q7-Q8</f>
        <v>#NUM!</v>
      </c>
      <c r="R10">
        <f ca="1">R8*R7</f>
        <v>1</v>
      </c>
      <c r="S10" t="e">
        <f t="shared" ca="1" si="0"/>
        <v>#NUM!</v>
      </c>
      <c r="T10" t="e">
        <f ca="1">S10/S14</f>
        <v>#NUM!</v>
      </c>
      <c r="U10" t="e">
        <f ca="1">FDIST(T10,R10,R14)</f>
        <v>#NUM!</v>
      </c>
      <c r="V10" s="6" t="e">
        <f ca="1">Q10/(Q10+Q14)</f>
        <v>#NUM!</v>
      </c>
    </row>
    <row r="11" spans="1:22" x14ac:dyDescent="0.35">
      <c r="A11" s="23" t="s">
        <v>16</v>
      </c>
      <c r="B11" s="23" t="s">
        <v>16</v>
      </c>
      <c r="C11" s="23" t="s">
        <v>16</v>
      </c>
      <c r="D11" s="23">
        <v>35</v>
      </c>
      <c r="E11" s="23">
        <v>38</v>
      </c>
      <c r="F11" s="23">
        <v>45</v>
      </c>
      <c r="G11" s="23">
        <v>47</v>
      </c>
      <c r="I11" s="24"/>
      <c r="J11" s="25"/>
      <c r="K11" s="22" t="e">
        <f ca="1"/>
        <v>#NAME?</v>
      </c>
      <c r="L11" s="24">
        <f ca="1">SUMIF($K$24:$K$31,K11,$L$24:$L$31)</f>
        <v>0</v>
      </c>
      <c r="M11" s="25" t="str">
        <f t="array" aca="1" ref="M11" ca="1">IF(L11=0,"",AVERAGE(IF($C$4:$C$11=K11,$D$4:$G$11,"")))</f>
        <v/>
      </c>
      <c r="N11" s="22" t="str">
        <f t="array" aca="1" ref="N11" ca="1">IF(L11&lt;2,"",VAR(IF($C$4:$C$11=K11,$D$4:$G$11,"")))</f>
        <v/>
      </c>
      <c r="P11" t="s">
        <v>50</v>
      </c>
      <c r="Q11" t="e">
        <f ca="1">DEVSQ(M16:M19)*L16-Q7-Q9</f>
        <v>#NUM!</v>
      </c>
      <c r="R11">
        <f ca="1">R9*R7</f>
        <v>1</v>
      </c>
      <c r="S11" t="e">
        <f t="shared" ca="1" si="0"/>
        <v>#NUM!</v>
      </c>
      <c r="T11" t="e">
        <f ca="1">S11/S14</f>
        <v>#NUM!</v>
      </c>
      <c r="U11" t="e">
        <f ca="1">FDIST(T11,R11,R14)</f>
        <v>#NUM!</v>
      </c>
      <c r="V11" s="6" t="e">
        <f ca="1">Q11/(Q11+Q14)</f>
        <v>#NUM!</v>
      </c>
    </row>
    <row r="12" spans="1:22" x14ac:dyDescent="0.35">
      <c r="I12" s="17" t="e">
        <f ca="1">$I$6</f>
        <v>#NAME?</v>
      </c>
      <c r="J12" s="19" t="e">
        <f ca="1">$J8</f>
        <v>#NAME?</v>
      </c>
      <c r="K12" s="20"/>
      <c r="L12" s="17">
        <f ca="1">SUMIFS($L$24:$L$31,$I$24:$I$31,I12,$J$24:$J$31,J12)</f>
        <v>0</v>
      </c>
      <c r="M12" s="19" t="str">
        <f t="array" aca="1" ref="M12" ca="1">IF(L12=0,"",AVERAGE(IF($A$4:$A$11=I12,IF($B$4:$B$11=J12,$D$4:$G$11,""))))</f>
        <v/>
      </c>
      <c r="N12" s="20" t="str">
        <f t="array" aca="1" ref="N12" ca="1">IF(L12&lt;2,"",VAR(IF($A$4:$A$11=I12,IF($B$4:$B$11=J12,$D$4:$G$11,""))))</f>
        <v/>
      </c>
      <c r="P12" t="s">
        <v>51</v>
      </c>
      <c r="Q12" t="e">
        <f ca="1">DEVSQ(M20:M23)*L20-Q8-Q9</f>
        <v>#NUM!</v>
      </c>
      <c r="R12">
        <f ca="1">R9*R8</f>
        <v>1</v>
      </c>
      <c r="S12" t="e">
        <f t="shared" ca="1" si="0"/>
        <v>#NUM!</v>
      </c>
      <c r="T12" t="e">
        <f ca="1">S12/S14</f>
        <v>#NUM!</v>
      </c>
      <c r="U12" t="e">
        <f ca="1">FDIST(T12,R12,R14)</f>
        <v>#NUM!</v>
      </c>
      <c r="V12" s="6" t="e">
        <f ca="1">Q12/(Q12+Q14)</f>
        <v>#NUM!</v>
      </c>
    </row>
    <row r="13" spans="1:22" x14ac:dyDescent="0.35">
      <c r="I13" s="18" t="e">
        <f ca="1">$I$6</f>
        <v>#NAME?</v>
      </c>
      <c r="J13" t="e">
        <f ca="1">$J9</f>
        <v>#NAME?</v>
      </c>
      <c r="K13" s="21"/>
      <c r="L13" s="18">
        <f ca="1">SUMIFS($L$24:$L$31,$I$24:$I$31,I13,$J$24:$J$31,J13)</f>
        <v>0</v>
      </c>
      <c r="M13" t="str">
        <f t="array" aca="1" ref="M13" ca="1">IF(L13=0,"",AVERAGE(IF($A$4:$A$11=I13,IF($B$4:$B$11=J13,$D$4:$G$11,""))))</f>
        <v/>
      </c>
      <c r="N13" s="21" t="str">
        <f t="array" aca="1" ref="N13" ca="1">IF(L13&lt;2,"",VAR(IF($A$4:$A$11=I13,IF($B$4:$B$11=J13,$D$4:$G$11,""))))</f>
        <v/>
      </c>
      <c r="P13" t="s">
        <v>52</v>
      </c>
      <c r="Q13" t="e">
        <f ca="1">DEVSQ(M24:M31)*L24-Q12-Q11-Q10-Q9-Q8-Q7</f>
        <v>#NUM!</v>
      </c>
      <c r="R13">
        <f ca="1">R9*R8*R7</f>
        <v>-1</v>
      </c>
      <c r="S13" t="e">
        <f t="shared" ca="1" si="0"/>
        <v>#NUM!</v>
      </c>
      <c r="T13" t="e">
        <f ca="1">S13/S14</f>
        <v>#NUM!</v>
      </c>
      <c r="U13" t="e">
        <f ca="1">FDIST(T13,R13,R14)</f>
        <v>#NUM!</v>
      </c>
      <c r="V13" s="6" t="e">
        <f ca="1">Q13/(Q13+Q14)</f>
        <v>#NUM!</v>
      </c>
    </row>
    <row r="14" spans="1:22" x14ac:dyDescent="0.35">
      <c r="I14" s="18" t="e">
        <f ca="1">$I$7</f>
        <v>#NAME?</v>
      </c>
      <c r="J14" t="e">
        <f ca="1">$J8</f>
        <v>#NAME?</v>
      </c>
      <c r="K14" s="21"/>
      <c r="L14" s="18">
        <f ca="1">SUMIFS($L$24:$L$31,$I$24:$I$31,I14,$J$24:$J$31,J14)</f>
        <v>0</v>
      </c>
      <c r="M14" t="str">
        <f t="array" aca="1" ref="M14" ca="1">IF(L14=0,"",AVERAGE(IF($A$4:$A$11=I14,IF($B$4:$B$11=J14,$D$4:$G$11,""))))</f>
        <v/>
      </c>
      <c r="N14" s="21" t="str">
        <f t="array" aca="1" ref="N14" ca="1">IF(L14&lt;2,"",VAR(IF($A$4:$A$11=I14,IF($B$4:$B$11=J14,$D$4:$G$11,""))))</f>
        <v/>
      </c>
      <c r="P14" t="s">
        <v>53</v>
      </c>
      <c r="Q14" t="e">
        <f ca="1">Q15-Q13-Q12-Q11-Q10-Q9-Q8-Q7</f>
        <v>#NUM!</v>
      </c>
      <c r="R14">
        <f ca="1">L32-(R7+1)*(R8+1)*(R9+1)</f>
        <v>32</v>
      </c>
      <c r="S14" t="e">
        <f t="shared" ca="1" si="0"/>
        <v>#NUM!</v>
      </c>
    </row>
    <row r="15" spans="1:22" x14ac:dyDescent="0.35">
      <c r="I15" s="24" t="e">
        <f ca="1">$I$7</f>
        <v>#NAME?</v>
      </c>
      <c r="J15" s="25" t="e">
        <f ca="1">$J9</f>
        <v>#NAME?</v>
      </c>
      <c r="K15" s="22"/>
      <c r="L15" s="24">
        <f ca="1">SUMIFS($L$24:$L$31,$I$24:$I$31,I15,$J$24:$J$31,J15)</f>
        <v>0</v>
      </c>
      <c r="M15" s="25" t="str">
        <f t="array" aca="1" ref="M15" ca="1">IF(L15=0,"",AVERAGE(IF($A$4:$A$11=I15,IF($B$4:$B$11=J15,$D$4:$G$11,""))))</f>
        <v/>
      </c>
      <c r="N15" s="22" t="str">
        <f t="array" aca="1" ref="N15" ca="1">IF(L15&lt;2,"",VAR(IF($A$4:$A$11=I15,IF($B$4:$B$11=J15,$D$4:$G$11,""))))</f>
        <v/>
      </c>
      <c r="P15" s="26" t="s">
        <v>33</v>
      </c>
      <c r="Q15" s="26">
        <f>N32*R15</f>
        <v>2073.71875</v>
      </c>
      <c r="R15" s="26">
        <f>L32-1</f>
        <v>31</v>
      </c>
      <c r="S15" s="26">
        <f t="shared" si="0"/>
        <v>66.894153225806448</v>
      </c>
      <c r="T15" s="26"/>
      <c r="U15" s="26"/>
      <c r="V15" s="26"/>
    </row>
    <row r="16" spans="1:22" x14ac:dyDescent="0.35">
      <c r="I16" s="17" t="e">
        <f ca="1">$I$6</f>
        <v>#NAME?</v>
      </c>
      <c r="J16" s="19"/>
      <c r="K16" s="20" t="e">
        <f ca="1">$K10</f>
        <v>#NAME?</v>
      </c>
      <c r="L16" s="17">
        <f ca="1">SUMIFS($L$24:$L$31,$I$24:$I$31,I16,$K$24:$K$31,K16)</f>
        <v>0</v>
      </c>
      <c r="M16" s="19" t="str">
        <f t="array" aca="1" ref="M16" ca="1">IF(L16=0,"",AVERAGE(IF($A$4:$A$11=I16,IF($C$4:$C$11=K16,$D$4:$G$11,""))))</f>
        <v/>
      </c>
      <c r="N16" s="20" t="str">
        <f t="array" aca="1" ref="N16" ca="1">IF(L16&lt;2,"",VAR(IF($A$4:$A$11=I16,IF($C$4:$C$11=K16,$D$4:$G$11,""))))</f>
        <v/>
      </c>
    </row>
    <row r="17" spans="9:14" x14ac:dyDescent="0.35">
      <c r="I17" s="18" t="e">
        <f ca="1">$I$6</f>
        <v>#NAME?</v>
      </c>
      <c r="K17" s="21" t="e">
        <f ca="1">$K11</f>
        <v>#NAME?</v>
      </c>
      <c r="L17" s="18">
        <f ca="1">SUMIFS($L$24:$L$31,$I$24:$I$31,I17,$K$24:$K$31,K17)</f>
        <v>0</v>
      </c>
      <c r="M17" t="str">
        <f t="array" aca="1" ref="M17" ca="1">IF(L17=0,"",AVERAGE(IF($A$4:$A$11=I17,IF($C$4:$C$11=K17,$D$4:$G$11,""))))</f>
        <v/>
      </c>
      <c r="N17" s="21" t="str">
        <f t="array" aca="1" ref="N17" ca="1">IF(L17&lt;2,"",VAR(IF($A$4:$A$11=I17,IF($C$4:$C$11=K17,$D$4:$G$11,""))))</f>
        <v/>
      </c>
    </row>
    <row r="18" spans="9:14" x14ac:dyDescent="0.35">
      <c r="I18" s="18" t="e">
        <f ca="1">$I$7</f>
        <v>#NAME?</v>
      </c>
      <c r="K18" s="21" t="e">
        <f ca="1">$K10</f>
        <v>#NAME?</v>
      </c>
      <c r="L18" s="18">
        <f ca="1">SUMIFS($L$24:$L$31,$I$24:$I$31,I18,$K$24:$K$31,K18)</f>
        <v>0</v>
      </c>
      <c r="M18" t="str">
        <f t="array" aca="1" ref="M18" ca="1">IF(L18=0,"",AVERAGE(IF($A$4:$A$11=I18,IF($C$4:$C$11=K18,$D$4:$G$11,""))))</f>
        <v/>
      </c>
      <c r="N18" s="21" t="str">
        <f t="array" aca="1" ref="N18" ca="1">IF(L18&lt;2,"",VAR(IF($A$4:$A$11=I18,IF($C$4:$C$11=K18,$D$4:$G$11,""))))</f>
        <v/>
      </c>
    </row>
    <row r="19" spans="9:14" x14ac:dyDescent="0.35">
      <c r="I19" s="24" t="e">
        <f ca="1">$I$7</f>
        <v>#NAME?</v>
      </c>
      <c r="J19" s="25"/>
      <c r="K19" s="22" t="e">
        <f ca="1">$K11</f>
        <v>#NAME?</v>
      </c>
      <c r="L19" s="24">
        <f ca="1">SUMIFS($L$24:$L$31,$I$24:$I$31,I19,$K$24:$K$31,K19)</f>
        <v>0</v>
      </c>
      <c r="M19" s="25" t="str">
        <f t="array" aca="1" ref="M19" ca="1">IF(L19=0,"",AVERAGE(IF($A$4:$A$11=I19,IF($C$4:$C$11=K19,$D$4:$G$11,""))))</f>
        <v/>
      </c>
      <c r="N19" s="22" t="str">
        <f t="array" aca="1" ref="N19" ca="1">IF(L19&lt;2,"",VAR(IF($A$4:$A$11=I19,IF($C$4:$C$11=K19,$D$4:$G$11,""))))</f>
        <v/>
      </c>
    </row>
    <row r="20" spans="9:14" x14ac:dyDescent="0.35">
      <c r="I20" s="17"/>
      <c r="J20" s="19" t="e">
        <f ca="1">$J$8</f>
        <v>#NAME?</v>
      </c>
      <c r="K20" s="20" t="e">
        <f ca="1">$K10</f>
        <v>#NAME?</v>
      </c>
      <c r="L20" s="17">
        <f ca="1">SUMIFS($L$24:$L$31,$J$24:$J$31,J20,$K$24:$K$31,K20)</f>
        <v>0</v>
      </c>
      <c r="M20" s="19" t="str">
        <f t="array" aca="1" ref="M20" ca="1">IF(L20=0,"",AVERAGE(IF($B$4:$B$11=J20,IF($C$4:$C$11=K20,$D$4:$G$11,""))))</f>
        <v/>
      </c>
      <c r="N20" s="20" t="str">
        <f t="array" aca="1" ref="N20" ca="1">IF(L20&lt;2,"",VAR(IF($B$4:$B$11=J20,IF($C$4:$C$11=K20,$D$4:$G$11,""))))</f>
        <v/>
      </c>
    </row>
    <row r="21" spans="9:14" x14ac:dyDescent="0.35">
      <c r="I21" s="18"/>
      <c r="J21" t="e">
        <f ca="1">$J$8</f>
        <v>#NAME?</v>
      </c>
      <c r="K21" s="21" t="e">
        <f ca="1">$K11</f>
        <v>#NAME?</v>
      </c>
      <c r="L21" s="18">
        <f ca="1">SUMIFS($L$24:$L$31,$J$24:$J$31,J21,$K$24:$K$31,K21)</f>
        <v>0</v>
      </c>
      <c r="M21" t="str">
        <f t="array" aca="1" ref="M21" ca="1">IF(L21=0,"",AVERAGE(IF($B$4:$B$11=J21,IF($C$4:$C$11=K21,$D$4:$G$11,""))))</f>
        <v/>
      </c>
      <c r="N21" s="21" t="str">
        <f t="array" aca="1" ref="N21" ca="1">IF(L21&lt;2,"",VAR(IF($B$4:$B$11=J21,IF($C$4:$C$11=K21,$D$4:$G$11,""))))</f>
        <v/>
      </c>
    </row>
    <row r="22" spans="9:14" x14ac:dyDescent="0.35">
      <c r="I22" s="18"/>
      <c r="J22" t="e">
        <f ca="1">$J$9</f>
        <v>#NAME?</v>
      </c>
      <c r="K22" s="21" t="e">
        <f ca="1">$K10</f>
        <v>#NAME?</v>
      </c>
      <c r="L22" s="18">
        <f ca="1">SUMIFS($L$24:$L$31,$J$24:$J$31,J22,$K$24:$K$31,K22)</f>
        <v>0</v>
      </c>
      <c r="M22" t="str">
        <f t="array" aca="1" ref="M22" ca="1">IF(L22=0,"",AVERAGE(IF($B$4:$B$11=J22,IF($C$4:$C$11=K22,$D$4:$G$11,""))))</f>
        <v/>
      </c>
      <c r="N22" s="21" t="str">
        <f t="array" aca="1" ref="N22" ca="1">IF(L22&lt;2,"",VAR(IF($B$4:$B$11=J22,IF($C$4:$C$11=K22,$D$4:$G$11,""))))</f>
        <v/>
      </c>
    </row>
    <row r="23" spans="9:14" x14ac:dyDescent="0.35">
      <c r="I23" s="24"/>
      <c r="J23" s="25" t="e">
        <f ca="1">$J$9</f>
        <v>#NAME?</v>
      </c>
      <c r="K23" s="22" t="e">
        <f ca="1">$K11</f>
        <v>#NAME?</v>
      </c>
      <c r="L23" s="24">
        <f ca="1">SUMIFS($L$24:$L$31,$J$24:$J$31,J23,$K$24:$K$31,K23)</f>
        <v>0</v>
      </c>
      <c r="M23" s="25" t="str">
        <f t="array" aca="1" ref="M23" ca="1">IF(L23=0,"",AVERAGE(IF($B$4:$B$11=J23,IF($C$4:$C$11=K23,$D$4:$G$11,""))))</f>
        <v/>
      </c>
      <c r="N23" s="22" t="str">
        <f t="array" aca="1" ref="N23" ca="1">IF(L23&lt;2,"",VAR(IF($B$4:$B$11=J23,IF($C$4:$C$11=K23,$D$4:$G$11,""))))</f>
        <v/>
      </c>
    </row>
    <row r="24" spans="9:14" x14ac:dyDescent="0.35">
      <c r="I24" s="17" t="str">
        <f>A4</f>
        <v>-</v>
      </c>
      <c r="J24" s="19" t="str">
        <f>B4</f>
        <v>-</v>
      </c>
      <c r="K24" s="20" t="str">
        <f>C4</f>
        <v>-</v>
      </c>
      <c r="L24" s="17">
        <f>COUNT(D4:G4)</f>
        <v>4</v>
      </c>
      <c r="M24" s="19">
        <f>AVERAGE(D4:G4)</f>
        <v>23.75</v>
      </c>
      <c r="N24" s="20">
        <f>VAR(D4:G4)</f>
        <v>17.583333333333332</v>
      </c>
    </row>
    <row r="25" spans="9:14" x14ac:dyDescent="0.35">
      <c r="I25" s="18" t="str">
        <f t="shared" ref="I25:K31" si="1">A5</f>
        <v>+</v>
      </c>
      <c r="J25" t="str">
        <f t="shared" si="1"/>
        <v>-</v>
      </c>
      <c r="K25" s="21" t="str">
        <f t="shared" si="1"/>
        <v>-</v>
      </c>
      <c r="L25" s="18">
        <f t="shared" ref="L25:L31" si="2">COUNT(D5:G5)</f>
        <v>4</v>
      </c>
      <c r="M25">
        <f t="shared" ref="M25:M31" si="3">AVERAGE(D5:G5)</f>
        <v>33</v>
      </c>
      <c r="N25" s="21">
        <f t="shared" ref="N25:N31" si="4">VAR(D5:G5)</f>
        <v>39.333333333333336</v>
      </c>
    </row>
    <row r="26" spans="9:14" x14ac:dyDescent="0.35">
      <c r="I26" s="18" t="str">
        <f t="shared" si="1"/>
        <v>-</v>
      </c>
      <c r="J26" t="str">
        <f t="shared" si="1"/>
        <v>+</v>
      </c>
      <c r="K26" s="21" t="str">
        <f t="shared" si="1"/>
        <v>-</v>
      </c>
      <c r="L26" s="18">
        <f t="shared" si="2"/>
        <v>4</v>
      </c>
      <c r="M26">
        <f t="shared" si="3"/>
        <v>37.5</v>
      </c>
      <c r="N26" s="21">
        <f t="shared" si="4"/>
        <v>67</v>
      </c>
    </row>
    <row r="27" spans="9:14" x14ac:dyDescent="0.35">
      <c r="I27" s="18" t="str">
        <f t="shared" si="1"/>
        <v>+</v>
      </c>
      <c r="J27" t="str">
        <f t="shared" si="1"/>
        <v>+</v>
      </c>
      <c r="K27" s="21" t="str">
        <f t="shared" si="1"/>
        <v>-</v>
      </c>
      <c r="L27" s="18">
        <f t="shared" si="2"/>
        <v>4</v>
      </c>
      <c r="M27">
        <f t="shared" si="3"/>
        <v>43.25</v>
      </c>
      <c r="N27" s="21">
        <f t="shared" si="4"/>
        <v>13.583333333333334</v>
      </c>
    </row>
    <row r="28" spans="9:14" x14ac:dyDescent="0.35">
      <c r="I28" s="18" t="str">
        <f t="shared" si="1"/>
        <v>-</v>
      </c>
      <c r="J28" t="str">
        <f t="shared" si="1"/>
        <v>-</v>
      </c>
      <c r="K28" s="21" t="str">
        <f t="shared" si="1"/>
        <v>+</v>
      </c>
      <c r="L28" s="18">
        <f t="shared" si="2"/>
        <v>4</v>
      </c>
      <c r="M28">
        <f t="shared" si="3"/>
        <v>38.75</v>
      </c>
      <c r="N28" s="21">
        <f t="shared" si="4"/>
        <v>3.5833333333333335</v>
      </c>
    </row>
    <row r="29" spans="9:14" x14ac:dyDescent="0.35">
      <c r="I29" s="18" t="str">
        <f t="shared" si="1"/>
        <v>+</v>
      </c>
      <c r="J29" t="str">
        <f t="shared" si="1"/>
        <v>-</v>
      </c>
      <c r="K29" s="21" t="str">
        <f t="shared" si="1"/>
        <v>+</v>
      </c>
      <c r="L29" s="18">
        <f t="shared" si="2"/>
        <v>4</v>
      </c>
      <c r="M29">
        <f t="shared" si="3"/>
        <v>34.25</v>
      </c>
      <c r="N29" s="21">
        <f t="shared" si="4"/>
        <v>8.9166666666666661</v>
      </c>
    </row>
    <row r="30" spans="9:14" x14ac:dyDescent="0.35">
      <c r="I30" s="18" t="str">
        <f t="shared" si="1"/>
        <v>-</v>
      </c>
      <c r="J30" t="str">
        <f t="shared" si="1"/>
        <v>+</v>
      </c>
      <c r="K30" s="21" t="str">
        <f t="shared" si="1"/>
        <v>+</v>
      </c>
      <c r="L30" s="18">
        <f t="shared" si="2"/>
        <v>4</v>
      </c>
      <c r="M30">
        <f t="shared" si="3"/>
        <v>47.5</v>
      </c>
      <c r="N30" s="21">
        <f t="shared" si="4"/>
        <v>17.666666666666668</v>
      </c>
    </row>
    <row r="31" spans="9:14" x14ac:dyDescent="0.35">
      <c r="I31" s="24" t="str">
        <f t="shared" si="1"/>
        <v>+</v>
      </c>
      <c r="J31" s="25" t="str">
        <f t="shared" si="1"/>
        <v>+</v>
      </c>
      <c r="K31" s="22" t="str">
        <f t="shared" si="1"/>
        <v>+</v>
      </c>
      <c r="L31" s="24">
        <f t="shared" si="2"/>
        <v>4</v>
      </c>
      <c r="M31" s="25">
        <f t="shared" si="3"/>
        <v>41.25</v>
      </c>
      <c r="N31" s="22">
        <f t="shared" si="4"/>
        <v>32.25</v>
      </c>
    </row>
    <row r="32" spans="9:14" x14ac:dyDescent="0.35">
      <c r="L32">
        <f>SUM(L24:L31)</f>
        <v>32</v>
      </c>
      <c r="M32">
        <f>AVERAGE(D4:G11)</f>
        <v>37.40625</v>
      </c>
      <c r="N32">
        <f>VAR(D4:G11)</f>
        <v>66.894153225806448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Factorial</vt:lpstr>
      <vt:lpstr>3way Anova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2024-04-06T13:39:24Z</dcterms:created>
  <dcterms:modified xsi:type="dcterms:W3CDTF">2024-04-06T13:47:17Z</dcterms:modified>
</cp:coreProperties>
</file>